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E3C19E36-2D55-4CC8-A180-8CC1955393E8}" xr6:coauthVersionLast="47" xr6:coauthVersionMax="47" xr10:uidLastSave="{00000000-0000-0000-0000-000000000000}"/>
  <bookViews>
    <workbookView xWindow="2700" yWindow="1410" windowWidth="33045" windowHeight="21150" xr2:uid="{00000000-000D-0000-FFFF-FFFF00000000}"/>
  </bookViews>
  <sheets>
    <sheet name="Functions" sheetId="1" r:id="rId1"/>
    <sheet name="General" sheetId="23" r:id="rId2"/>
    <sheet name="Polynomials" sheetId="21" r:id="rId3"/>
    <sheet name="Sequences" sheetId="20" r:id="rId4"/>
    <sheet name="Arrays" sheetId="19" r:id="rId5"/>
    <sheet name="Matrices" sheetId="17" r:id="rId6"/>
    <sheet name="Calc" sheetId="25" r:id="rId7"/>
    <sheet name="Structures" sheetId="24" r:id="rId8"/>
    <sheet name="License" sheetId="16" r:id="rId9"/>
  </sheets>
  <definedNames>
    <definedName name="goldenRatio">(1+SQRT(5))/2</definedName>
    <definedName name="goldenRatioC">(1-SQRT(5))/2</definedName>
    <definedName name="L.AD" comment="Shortcut version of the ADDRESS function. Uses cell_or_range as the input.">_xlfn.LAMBDA(_xlpm.cell_or_range,_xlop.abs_num,_xlop.a1_r1c1,_xlop.include_sheetname, _xlfn.LET(_xlpm.doc, "https://www.vertex42.com/lambda/", _xlpm.version, "1.0.1 - Updated parameter name and commenting", _xlpm.cell, _xlpm.cell_or_range, _xlpm.abs_num, IF(_xlfn.ISOMITTED(_xlpm.abs_num), 1, _xlpm.abs_num), _xlpm.a1_r1c1, IF(_xlfn.ISOMITTED(_xlpm.a1_r1c1), 1, _xlpm.a1_r1c1), _xlpm.include_sheetname, IF(_xlfn.ISOMITTED(_xlpm.include_sheetname), FALSE, _xlpm.include_sheetname), IF(_xlpm.include_sheetname, ADDRESS(ROW(_xlpm.cell), COLUMN(_xlpm.cell), _xlpm.abs_num, _xlpm.a1_r1c1, _xlfn.TEXTAFTER(CELL("filename", _xlpm.cell), "]")), ADDRESS(ROW(_xlpm.cell), COLUMN(_xlpm.cell), _xlpm.abs_num, _xlpm.a1_r1c1))))</definedName>
    <definedName name="L.ADDSPACEBEFORECAP" comment="Adds a single space before each capital letter A through Z">_xlfn.LAMBDA(_xlpm.text, _xlfn.LET(_xlpm.doc, "https://www.vertex42.com/lambda/addspacebeforecap.html", TRIM(_xlfn.REDUCE(_xlpm.text, CHAR(_xlfn.SEQUENCE(1, 26, 65)), _xlfn.LAMBDA(_xlpm.i,_xlpm.a, SUBSTITUTE(_xlpm.i, _xlpm.a, " " &amp; _xlpm.a))))))</definedName>
    <definedName name="L.BOOKMARK" comment="Used within HYPERLINK to create a hyperlink to a cell in the workbook">_xlfn.LAMBDA(_xlpm.cell, _xlfn.LET(_xlpm.doc, "https://www.vertex42.com/lambda/bookmark.html", "#" &amp; ADDRESS(ROW(_xlpm.cell), COLUMN(_xlpm.cell), 4, 1, _xlfn.TEXTAFTER(CELL("filename", _xlpm.cell), "]"))))</definedName>
    <definedName name="L.BYCOL2D" comment="Like BYCOL, but can return a multi-row array instead of just a single row">_xlfn.LAMBDA(_xlpm.array,_xlpm.function, _xlfn.LET(_xlpm.doc, "https://www.vertex42.com/lambda/byrow2d.html", _xlfn.REDUCE("", _xlfn.SEQUENCE(COLUMNS(_xlpm.array)), _xlfn.LAMBDA(_xlpm.acc,_xlpm.i, IF(_xlpm.i = 1, _xlpm.function(_xlfn.CHOOSECOLS(_xlpm.array, _xlpm.i)), _xlfn.HSTACK(_xlpm.acc, _xlpm.function(_xlfn.CHOOSECOLS(_xlpm.array, _xlpm.i))))))))</definedName>
    <definedName name="L.BYROW2D" comment="Like BYROW, but can return a multi-column array instead of just a single column">_xlfn.LAMBDA(_xlpm.array,_xlpm.function, _xlfn.LET(_xlpm.doc, "https://www.vertex42.com/lambda/byrow2d.html", _xlfn.REDUCE("", _xlfn.SEQUENCE(ROWS(_xlpm.array)), _xlfn.LAMBDA(_xlpm.acc,_xlpm.i, IF(_xlpm.i = 1, _xlpm.function(_xlfn.CHOOSEROWS(_xlpm.array, _xlpm.i)), _xlfn.VSTACK(_xlpm.acc, _xlpm.function(_xlfn.CHOOSEROWS(_xlpm.array, _xlpm.i))))))))</definedName>
    <definedName name="L.CHOLESKY" comment="Returns the Cholesky decomposition for a symmetric positive-definite matrix">_xlfn.LAMBDA(_xlpm.matrix, _xlfn.LET(_xlpm.doc, "https://www.vertex42.com/lambda/cholesky.html", _xlpm.n, ROWS(_xlpm.matrix), IF(ROWS(_xlpm.matrix) &lt;&gt; COLUMNS(_xlpm.matrix), "Error: matrix not square", IF(SUM(--(_xlpm.matrix &lt;&gt; TRANSPOSE(_xlpm.matrix))) &lt;&gt; 0, "Error: not symmetric", IF(MDETERM(_xlpm.matrix) &lt;= 0, "Error: not positive definite", _xlfn.REDUCE(0, _xlfn.SEQUENCE(_xlpm.n), _xlfn.LAMBDA(_xlpm.Lmat,_xlpm.j, IF(_xlpm.j = 1, _xlfn.LET(_xlpm.Ljj, SQRT(INDEX(_xlpm.matrix, _xlpm.j, _xlpm.j)), _xlpm.Lij, _xlfn.CHOOSEROWS(INDEX(_xlpm.matrix, 0, 1), _xlfn.SEQUENCE(_xlpm.n - 1, 1, 2, 1)) / _xlpm.Ljj, _xlfn.VSTACK(_xlpm.Ljj, _xlpm.Lij)), IF(_xlpm.j = _xlpm.n, _xlfn.LET(_xlpm.Ljj, SQRT(INDEX(_xlpm.matrix, _xlpm.j, _xlpm.j) - SUM(_xlfn.CHOOSEROWS(_xlpm.Lmat, _xlpm.j) ^ 2)), _xlfn.HSTACK(_xlpm.Lmat, _xlfn.VSTACK(_xlfn.SEQUENCE(_xlpm.n - 1, 1, 0, 0), _xlpm.Ljj))), _xlfn.LET(_xlpm.Ljj, SQRT(INDEX(_xlpm.matrix, _xlpm.j, _xlpm.j) - SUM(_xlfn.CHOOSEROWS(_xlpm.Lmat, _xlpm.j) ^ 2)), _xlpm.Aij, _xlfn.CHOOSEROWS(INDEX(_xlpm.matrix, 0, _xlpm.j), _xlfn.SEQUENCE(_xlpm.n - _xlpm.j, 1, _xlpm.j + 1, 1)), _xlpm.Lik, _xlfn.CHOOSEROWS(_xlpm.Lmat, _xlfn.SEQUENCE(_xlpm.n - _xlpm.j, 1, _xlpm.j + 1, 1)), _xlpm.Ljk, _xlfn.CHOOSEROWS(_xlpm.Lmat, _xlpm.j), _xlpm.Lij, 1 / _xlpm.Ljj * (_xlpm.Aij - MMULT(_xlpm.Lik, TRANSPOSE(_xlpm.Ljk))), _xlfn.HSTACK(_xlpm.Lmat, _xlfn.VSTACK(_xlfn.SEQUENCE(_xlpm.j - 1, 1, 0, 0), _xlpm.Ljj, _xlpm.Lij))))))))))))</definedName>
    <definedName name="L.CIRCSHIFT" comment="Shift the rows (dim=1) or columns (dim=2) of an array circularly n times.">_xlfn.LAMBDA(_xlpm.array,_xlpm.n,_xlop.dimension, _xlfn.LET(_xlpm.doc, "https://www.vertex42.com/lambda/circshift.html", _xlpm.rows, ROWS(_xlpm.array), _xlpm.cols, COLUMNS(_xlpm.array), _xlpm.by_col, _xlpm.dimension = 2, _xlpm.dim, IF(_xlpm.by_col, _xlpm.cols, _xlpm.rows), _xlpm.m, IF(_xlpm.by_col, 1 + MOD(INT(_xlpm.n) - 1, _xlpm.cols), 1 + MOD(INT(_xlpm.n) - 1, _xlpm.rows)), _xlpm.indices, _xlfn.VSTACK(_xlfn.SEQUENCE(_xlpm.m, 1, _xlpm.dim - _xlpm.m + 1), _xlfn.SEQUENCE(_xlpm.dim - _xlpm.m, 1)), IF(_xlpm.dim = _xlpm.m, _xlpm.array, IF(_xlpm.by_col, _xlfn.CHOOSECOLS(_xlpm.array, _xlpm.indices), _xlfn.CHOOSEROWS(_xlpm.array, _xlpm.indices)))))</definedName>
    <definedName name="L.COLSUM" comment="Returns a row vector containing column sums">_xlfn.LAMBDA(_xlpm.matrix, _xlfn.LET(_xlpm.doc, "https://www.vertex42.com/lambda/rowsum-and-colsum.html", _xlfn.BYCOL(_xlpm.matrix, _xlfn.LAMBDA(_xlpm.col, SUM(_xlpm.col)))))</definedName>
    <definedName name="L.COMBINATIONS" comment="Return an array of all combinations of rows from multiple arrays.">_xlfn.LAMBDA(_xlpm.array_1,_xlpm.array_2,_xlop.array_3,_xlop.array_4,_xlop.array_5, _xlfn.LET(_xlpm.doc, "https://www.vertex42.com/lambda/combinations.html", _xlpm.version, "1.0.1 1/13/2025 - Multiple optional arrays", _xlpm.combine_two_arrays, _xlfn.LAMBDA(_xlpm.a,_xlpm.b, _xlfn.LET(_xlpm.r_1, ROWS(_xlpm.a), _xlpm.r_2, ROWS(_xlpm.b), _xlpm.first, L.REPELEM(_xlpm.a, _xlpm.r_2, 1), _xlpm.second, L.REPARRAY(_xlpm.b, _xlpm.r_1, 1), _xlfn.HSTACK(_xlpm.first, _xlpm.second))), _xlpm.result, _xlpm.combine_two_arrays(_xlpm.array_1, _xlpm.array_2), _xlpm.result2, IF(_xlfn.ISOMITTED(_xlpm.array_3), _xlpm.result, _xlpm.combine_two_arrays(_xlpm.result, _xlpm.array_3)), _xlpm.result3, IF(_xlfn.ISOMITTED(_xlpm.array_4), _xlpm.result2, _xlpm.combine_two_arrays(_xlpm.result2, _xlpm.array_4)), _xlpm.result4, IF(_xlfn.ISOMITTED(_xlpm.array_5), _xlpm.result3, _xlpm.combine_two_arrays(_xlpm.result3, _xlpm.array_5)), _xlpm.result4))</definedName>
    <definedName name="L.COMBINR" comment="Return all the combinations of (N Choose K) from an Nx1 array">_xlfn.LAMBDA(_xlpm.array,_xlpm.k, _xlfn.LET(_xlpm.doc, "https://www.vertex42.com/lambda/combinr.html", _xlpm.array, IF(AND(COLUMNS(_xlpm.array) &gt; 1, ROWS(_xlpm.array) = 1), TRANSPOSE(_xlpm.array), _xlpm.array), _xlpm.cols, COLUMNS(_xlpm.array), _xlpm.n, ROWS(_xlpm.array), IF(_xlpm.cols &gt; 1, "Error: Array size must be n x 1", IF(_xlpm.n &lt; 3, "Error: n must be &gt;= 3", IF(_xlpm.k &gt; _xlpm.n, "Error: k must be &lt; Rows", _xlfn.LET(_xlpm.m, COMBIN(_xlpm.n, _xlpm.k), _xlpm.ms, _xlfn.SEQUENCE(_xlpm.m), _xlpm.mx, _xlfn.SEQUENCE(1, _xlpm.k, _xlpm.n - _xlpm.k + 1, 1), _xlpm.combos, _xlfn.REDUCE(_xlfn.SEQUENCE(_xlpm.m, _xlpm.k, 0, 0), _xlpm.ms, _xlfn.LAMBDA(_xlpm.acc,_xlpm.i, IF(_xlpm.i = 1, _xlfn.SEQUENCE(1, _xlpm.k), _xlfn.LET(_xlpm.prev_row, INDEX(_xlpm.acc, _xlpm.i - 1, 0), _xlpm.tf, _xlpm.prev_row = _xlpm.mx, _xlpm.col2inc, IFERROR(MATCH(TRUE, _xlpm.tf, 0), _xlpm.k + 1) - 1, _xlpm.new_row, IF(_xlpm.col2inc = 1, _xlfn.SEQUENCE(1, _xlpm.k - _xlpm.col2inc + 1, INDEX(_xlpm.prev_row, 1, _xlpm.col2inc) + 1), _xlfn.HSTACK(_xlfn.CHOOSECOLS(_xlpm.prev_row, _xlfn.SEQUENCE(1, _xlpm.col2inc - 1)), _xlfn.SEQUENCE(1, _xlpm.k - _xlpm.col2inc + 1, INDEX(_xlpm.prev_row, 1, _xlpm.col2inc) + 1))), _xlfn.VSTACK(_xlpm.acc, _xlpm.new_row))))), INDEX(_xlpm.array, _xlpm.combos)))))))</definedName>
    <definedName name="L.COUNTCHAR" comment="Count the number of instances of a character or string within text">_xlfn.LAMBDA(_xlpm.char,_xlpm.within_text, _xlfn.LET(_xlpm.doc, "https://www.vertex42.com/lambda/countchar.html", (LEN(_xlpm.within_text) - LEN(SUBSTITUTE(_xlpm.within_text, _xlpm.char, ""))) / LEN(_xlpm.char)))</definedName>
    <definedName name="L.CROSS" comment="Returns the Cross Product of two 3x1 vectors a and b.">_xlfn.LAMBDA(_xlpm.vector_a,_xlpm.vector_b, _xlfn.LET(_xlpm.doc, "https://www.vertex42.com/lambda/cross.html", _xlpm.toColVec3, _xlfn.LAMBDA(_xlpm.vec, _xlfn.LET(_xlpm.cvec, IF(AND(ROWS(_xlpm.vec) = 1, COLUMNS(_xlpm.vec) &gt; 1), TRANSPOSE(_xlpm.vec), _xlpm.vec), IF(ROWS(_xlpm.cvec) = 2, _xlfn.VSTACK(_xlpm.cvec, 0), _xlpm.cvec))), _xlpm.vec_a, _xlpm.toColVec3(_xlpm.vector_a), _xlpm.vec_b, _xlpm.toColVec3(_xlpm.vector_b), _xlpm.arr, _xlfn.VSTACK(TRANSPOSE(_xlpm.vec_a), TRANSPOSE(_xlpm.vec_b)), IF(OR(ROWS(_xlpm.vec_a) &lt;&gt; 3, ROWS(_xlpm.vec_b) &lt;&gt; 3, COLUMNS(_xlpm.vec_a) &gt; 1, COLUMNS(_xlpm.vec_b) &gt; 1), "Error in vector size", _xlfn.VSTACK(MDETERM(_xlfn.CHOOSECOLS(_xlpm.arr, 2, 3)), MDETERM(_xlfn.CHOOSECOLS(_xlpm.arr, 3, 1)), MDETERM(_xlfn.CHOOSECOLS(_xlpm.arr, 1, 2))))))</definedName>
    <definedName name="L.CSPLINE" comment="Cubic Spline - Creates a cubic piecewise interpolating polynomial _x000a_by specifying control points and slopes at each point.">_xlfn.LAMBDA(_xlpm.known_xs,_xlpm.known_ys,_xlop.x,_xlop.ms,_xlop.c, _xlfn.LET(_xlpm.doc, "https://www.vertex42.com/lambda/cspline.html", _xlpm.version, "1.0.1 - Updated commenting", _xlpm.xs, IF(AND(ROWS(_xlpm.known_xs) = 1, COLUMNS(_xlpm.known_xs) &gt; 1), TRANSPOSE(_xlpm.known_xs), _xlpm.known_xs), _xlpm.ys, IF(AND(ROWS(_xlpm.known_ys) = 1, COLUMNS(_xlpm.known_ys) &gt; 1), TRANSPOSE(_xlpm.known_ys), _xlpm.known_ys), _xlpm.ms, IF(ISBLANK(_xlpm.ms), "", IF(AND(ROWS(_xlpm.ms) = 1, COLUMNS(_xlpm.ms) &gt; 1), TRANSPOSE(_xlpm.ms), _xlpm.ms)), _xlpm.c, IF(ISBLANK(_xlpm.c), 0, _xlpm.c), _xlpm.n, ROWS(_xlpm.xs), _xlpm.slope, (1 - _xlpm.c) * IF(OR(_xlpm.ms = "", ROWS(_xlpm.ms) &lt;= 2), IF(AND(NOT(_xlpm.ms = ""), ROWS(_xlpm.ms) = 1), _xlfn.SEQUENCE(_xlpm.n, 1, _xlpm.ms, 0), _xlfn.MAKEARRAY(_xlpm.n, 1, _xlfn.LAMBDA(_xlpm.i,_xlpm.j, IF(_xlpm.i = 1, IF(ROWS(_xlpm.ms) = 2, INDEX(_xlpm.ms, 1), (INDEX(_xlpm.ys, _xlpm.i + 1) - INDEX(_xlpm.ys, _xlpm.i)) / (INDEX(_xlpm.xs, _xlpm.i + 1) - INDEX(_xlpm.xs, _xlpm.i))), IF(_xlpm.i = _xlpm.n, IF(ROWS(_xlpm.ms) = 2, INDEX(_xlpm.ms, 2), (INDEX(_xlpm.ys, _xlpm.i) - INDEX(_xlpm.ys, _xlpm.i - 1)) / (INDEX(_xlpm.xs, _xlpm.i) - INDEX(_xlpm.xs, _xlpm.i - 1))), 0.5 * ((INDEX(_xlpm.ys, _xlpm.i + 1) - INDEX(_xlpm.ys, _xlpm.i)) / (INDEX(_xlpm.xs, _xlpm.i + 1) - INDEX(_xlpm.xs, _xlpm.i)) + (INDEX(_xlpm.ys, _xlpm.i) - INDEX(_xlpm.ys, _xlpm.i - 1)) / (INDEX(_xlpm.xs, _xlpm.i) - INDEX(_xlpm.xs, _xlpm.i - 1)))))))), _xlpm.ms), _xlpm.pp_coeffs, _xlfn.REDUCE(0, _xlfn.SEQUENCE(_xlpm.n - 1), _xlfn.LAMBDA(_xlpm.acc,_xlpm.i, _xlfn.LET(_xlpm.dx, INDEX(_xlpm.xs, _xlpm.i + 1) - INDEX(_xlpm.xs, _xlpm.i), _xlpm.y_1, INDEX(_xlpm.ys, _xlpm.i), _xlpm.y_2, INDEX(_xlpm.ys, _xlpm.i + 1), _xlpm.m_1, INDEX(_xlpm.slope, _xlpm.i) * _xlpm.dx, _xlpm.m_2, INDEX(_xlpm.slope, _xlpm.i + 1) * _xlpm.dx, _xlpm.coeffs, _xlfn.HSTACK((2 * _xlpm.y_1 - 2 * _xlpm.y_2 + _xlpm.m_1 + _xlpm.m_2) / _xlpm.dx ^ 3, (-3 * _xlpm.y_1 + 3 * _xlpm.y_2 - 2 * _xlpm.m_1 - _xlpm.m_2) / _xlpm.dx ^ 2, _xlpm.m_1 / _xlpm.dx, _xlpm.y_1), IF(_xlpm.i = 1, _xlpm.coeffs, _xlfn.VSTACK(_xlpm.acc, _xlpm.coeffs))))), _xlpm.pp, _xlfn.MAP(_xlfn.HSTACK(_xlpm.xs, _xlpm.pp_coeffs), _xlfn.LAMBDA(_xlpm.cell, IFERROR(_xlpm.cell, ""))), IF(_xlfn.ISOMITTED(_xlpm.x), _xlpm.pp, L.PPVAL(_xlpm.pp, _xlpm.x))))</definedName>
    <definedName name="L.CUMULATIVESUM" comment="Return a running total (cumulative sum) of values in an array_x000a_for each column separately.">_xlfn.LAMBDA(_xlpm.array, _xlfn.LET(_xlpm.doc, "https://www.vertex42.com/lambda/cumulativesum.html", _xlfn.MAKEARRAY(ROWS(_xlpm.array), COLUMNS(_xlpm.array), _xlfn.LAMBDA(_xlpm.r,_xlpm.c, SUM(INDEX(_xlpm.array, _xlfn.SEQUENCE(_xlpm.r), _xlpm.c))))))</definedName>
    <definedName name="L.DIAG" comment="Convert a vector to a Diagonal matrix or vice versa">_xlfn.LAMBDA(_xlpm.array, _xlfn.LET(_xlpm.doc, "https://www.vertex42.com/lambda/diag.html", _xlpm.r, ROWS(_xlpm.array), _xlpm.c, COLUMNS(_xlpm.array), IF(_xlpm.c = 1, _xlfn.MAKEARRAY(_xlpm.r, _xlpm.r, _xlfn.LAMBDA(_xlpm.i,_xlpm.j, IF(_xlpm.i = _xlpm.j, INDEX(_xlpm.array, _xlpm.i), 0))), IF(_xlpm.r &lt;&gt; _xlpm.c, "Error: Not Square", _xlfn.MAKEARRAY(_xlpm.r, 1, _xlfn.LAMBDA(_xlpm.i,_xlpm.j, INDEX(_xlpm.array, _xlpm.i, _xlpm.i)))))))</definedName>
    <definedName name="L.DIFF" comment="Calculate the difference between adjacent values of a column vector">_xlfn.LAMBDA(_xlpm.x,_xlop.n, _xlfn.LET(_xlpm.doc, "https://www.vertex42.com/lambda/diff.html", _xlpm.n, IF(ISBLANK(_xlpm.n), 1, _xlpm.n), _xlfn.REDUCE(1, _xlfn.SEQUENCE(_xlpm.n), _xlfn.LAMBDA(_xlpm.acc,_xlpm.i, IF(_xlpm.i = 1, _xlfn.DROP(_xlpm.x, 1) - _xlfn.DROP(_xlpm.x, -1), _xlfn.DROP(_xlpm.acc, 1) - _xlfn.DROP(_xlpm.acc, -1))))))</definedName>
    <definedName name="L.DOT" comment="Returns the sum of the element-wise multiplication of two vectors_x000a_or the column sum of the element-wise multiplication of two matrices">_xlfn.LAMBDA(_xlpm.a,_xlpm.b, _xlfn.LET(_xlpm.doc, "https://www.vertex42.com/lambda/dot.html", _xlpm.a, IF(AND(ROWS(_xlpm.a) = 1, COLUMNS(_xlpm.a) &gt; 1), TRANSPOSE(_xlpm.a), _xlpm.a), _xlpm.b, IF(AND(ROWS(_xlpm.b) = 1, COLUMNS(_xlpm.b) &gt; 1), TRANSPOSE(_xlpm.b), _xlpm.b), IF(OR(ROWS(_xlpm.a) &lt;&gt; ROWS(_xlpm.b), COLUMNS(_xlpm.a) &lt;&gt; COLUMNS(_xlpm.b)), "Error: a and b must be the same size", _xlfn.BYCOL(_xlpm.a * _xlpm.b, _xlfn.LAMBDA(_xlpm.col, SUM(_xlpm.col))))))</definedName>
    <definedName name="L.EIGENVALUE" comment="Attempts to find Eigenvalues of a square matrix with n iterations_x000a_using a QR algorithm with Rayleigh shifts and optional Hessenberg">_xlfn.LAMBDA(_xlpm.matrix,_xlop.iterations,_xlop.output_form,_xlop.use_hess, _xlfn.LET(_xlpm.doc, "https://www.vertex42.com/lambda/eigenvalue.html", _xlpm.n, ROWS(_xlpm.matrix), _xlpm.iterations, IF(ISBLANK(_xlpm.iterations), 42, _xlpm.iterations), _xlpm.output_form, IF(ISBLANK(_xlpm.output_form), "U", _xlpm.output_form), _xlpm.initialHU, IF(_xlpm.use_hess = TRUE, L.HESS(_xlpm.matrix, "HU"), ""), _xlpm.initialA, IF(_xlpm.use_hess = TRUE, _xlfn.DROP(_xlpm.initialHU, -_xlpm.n, 0), _xlpm.matrix), _xlpm.UQ, _xlfn.REDUCE(_xlfn.VSTACK(_xlpm.initialA, _xlfn.MUNIT(_xlpm.n)), _xlfn.SEQUENCE(_xlpm.iterations), _xlfn.LAMBDA(_xlpm.acc,_xlpm.k, _xlfn.LET(_xlpm.new_A, _xlfn.DROP(_xlpm.acc, -_xlpm.n, 0), _xlpm.shift, IF(INDEX(_xlpm.new_A, _xlpm.n, _xlpm.n) = 0, 0.0001, INDEX(_xlpm.new_A, _xlpm.n, _xlpm.n)), _xlpm.QRmat, L.QR(_xlpm.new_A - _xlpm.shift * _xlfn.MUNIT(_xlpm.n)), _xlpm.Q, _xlfn.TAKE(_xlpm.QRmat, _xlpm.n), _xlpm.R, _xlfn.TAKE(_xlpm.QRmat, -_xlpm.n), _xlpm.next_A, MMULT(_xlpm.R, _xlpm.Q) + _xlpm.shift * _xlfn.MUNIT(_xlpm.n), _xlfn.VSTACK(_xlpm.next_A, MMULT(_xlfn.DROP(_xlpm.acc, _xlpm.n, 0), _xlpm.Q))))), _xlpm.eigMat, _xlfn.DROP(_xlpm.UQ, -_xlpm.n, 0), _xlpm.qMat, IF(_xlpm.use_hess = TRUE, MMULT(_xlfn.DROP(_xlpm.initialHU, _xlpm.n, 0), _xlfn.DROP(_xlpm.UQ, _xlpm.n, 0)), _xlfn.DROP(_xlpm.UQ, _xlpm.n, 0)), IF(_xlpm.output_form = "UQ", _xlpm.UQ, IF(_xlpm.output_form = "test", _xlfn.LET(_xlpm.eigRow, _xlfn.MAKEARRAY(1, _xlpm.n, _xlfn.LAMBDA(_xlpm.i,_xlpm.j, INDEX(_xlpm.eigMat, _xlpm.j, _xlpm.j))), _xlpm.label, _xlfn.LAMBDA(_xlpm.label, _xlfn.HSTACK(_xlpm.label, _xlfn.MAKEARRAY(1, _xlpm.n - 1, _xlfn.LAMBDA(_xlpm.i,_xlpm.j, "")))), _xlfn.VSTACK(_xlpm.eigMat, _xlpm.label("Q"), _xlpm.qMat, _xlpm.label("λ"), _xlpm.eigRow, _xlpm.label("det(A-λI)"), _xlfn.BYCOL(_xlpm.eigRow, _xlfn.LAMBDA(_xlpm.λ, MDETERM(_xlpm.matrix - _xlpm.λ * _xlfn.MUNIT(_xlpm.n)))), _xlpm.label("Av/v"), MMULT(_xlpm.matrix, _xlpm.qMat) / _xlpm.qMat)), _xlpm.eigMat))))</definedName>
    <definedName name="L.FDIFF" comment="Calculate the n-th Finite Difference Derivative assuming uniform spacing h">_xlfn.LAMBDA(_xlpm.ys,_xlop.h,_xlop.n, _xlfn.LET(_xlpm.doc, "https://www.vertex42.com/lambda/fdiff.html", _xlpm.n, IF(ISBLANK(_xlpm.n), 1, _xlpm.n), _xlpm.h, IF(ISBLANK(_xlpm.h), 1, _xlpm.h), _xlpm.m, ROWS(_xlpm.ys), _xlfn.MAKEARRAY(_xlpm.m, 1, _xlfn.LAMBDA(_xlpm.i,_xlpm.j, _xlfn.SWITCH(_xlpm.n, 1, _xlfn.SWITCH(_xlpm.i, 1, SUMPRODUCT({-3;4;-1}, _xlfn.CHOOSEROWS(_xlpm.ys, 1, 2, 3)) / (2 * _xlpm.h), _xlpm.m, SUMPRODUCT({1;-4;3}, _xlfn.CHOOSEROWS(_xlpm.ys, _xlpm.m - 2, _xlpm.m - 1, _xlpm.m)) / (2 * _xlpm.h), SUMPRODUCT({-1;0;1}, _xlfn.CHOOSEROWS(_xlpm.ys, _xlpm.i - 1, _xlpm.i, _xlpm.i + 1)) / (2 * _xlpm.h)), 2, _xlfn.SWITCH(_xlpm.i, 1, SUMPRODUCT({2;-5;4;-1}, _xlfn.CHOOSEROWS(_xlpm.ys, 1, 2, 3, 4)) / (_xlpm.h ^ 2), _xlpm.m, SUMPRODUCT({-1;4;-5;2}, _xlfn.CHOOSEROWS(_xlpm.ys, _xlpm.m - 3, _xlpm.m - 2, _xlpm.m - 1, _xlpm.m)) / (_xlpm.h ^ 2), SUMPRODUCT({1;-2;1}, _xlfn.CHOOSEROWS(_xlpm.ys, _xlpm.i - 1, _xlpm.i, _xlpm.i + 1)) / (_xlpm.h ^ 2)), 3, _xlfn.SWITCH(_xlpm.i, 1, SUMPRODUCT({-5;18;-24;14;-3}, _xlfn.CHOOSEROWS(_xlpm.ys, 1, 2, 3, 4, 5)) / (2 * _xlpm.h ^ 3), 2, SUMPRODUCT({-3;10;-12;6;-1}, _xlfn.CHOOSEROWS(_xlpm.ys, 1, 2, 3, 4, 5)) / (2 * _xlpm.h ^ 3), _xlpm.m - 1, SUMPRODUCT({1;-6;12;-10;3}, _xlfn.CHOOSEROWS(_xlpm.ys, _xlpm.m - 4, _xlpm.m - 3, _xlpm.m - 2, _xlpm.m - 1, _xlpm.m)) / (2 * _xlpm.h ^ 3), _xlpm.m, SUMPRODUCT({3;-14;24;-18;5}, _xlfn.CHOOSEROWS(_xlpm.ys, _xlpm.m - 4, _xlpm.m - 3, _xlpm.m - 2, _xlpm.m - 1, _xlpm.m)) / (2 * _xlpm.h ^ 3), SUMPRODUCT({-1;2;0;-2;1}, _xlfn.CHOOSEROWS(_xlpm.ys, _xlpm.i - 2, _xlpm.i - 1, _xlpm.i, _xlpm.i + 1, _xlpm.i + 2)) / (2 * _xlpm.h ^ 3)), 4, _xlfn.SWITCH(_xlpm.i, 1, SUMPRODUCT({3;-14;26;-24;11;-2}, _xlfn.CHOOSEROWS(_xlpm.ys, 1, 2, 3, 4, 5, 6)) / (_xlpm.h ^ 4), 2, SUMPRODUCT({2;-9;16;-14;6;-1}, _xlfn.CHOOSEROWS(_xlpm.ys, 1, 2, 3, 4, 5, 6)) / (_xlpm.h ^ 4), _xlpm.m - 1, SUMPRODUCT({-1;6;-14;16;-9;2}, _xlfn.CHOOSEROWS(_xlpm.ys, _xlpm.m - 5, _xlpm.m - 4, _xlpm.m - 3, _xlpm.m - 2, _xlpm.m - 1, _xlpm.m)) / (_xlpm.h ^ 4), _xlpm.m, SUMPRODUCT({-2;11;-24;26;-14;3}, _xlfn.CHOOSEROWS(_xlpm.ys, _xlpm.m - 5, _xlpm.m - 4, _xlpm.m - 3, _xlpm.m - 2, _xlpm.m - 1, _xlpm.m)) / (_xlpm.h ^ 4), SUMPRODUCT({1;-4;6;-4;1}, _xlfn.CHOOSEROWS(_xlpm.ys, _xlpm.i - 2, _xlpm.i - 1, _xlpm.i, _xlpm.i + 1, _xlpm.i + 2)) / (_xlpm.h ^ 4)), "Error: Invalid Integer n, 1&lt;=n&lt;=4")))))</definedName>
    <definedName name="L.FIBONACCI" comment="Return the first N values in the Fibonacci Sequence">_xlfn.LAMBDA(_xlpm.n,_xlop.sequence_tf, IF(OR(ROWS(_xlpm.n) &gt; 1, COLUMNS(_xlpm.n) &gt; 1, _xlpm.n &lt; 0, _xlpm.n &lt;&gt; INT(_xlpm.n)), "Error: n should be an integer &gt; 0", _xlfn.LET(_xlpm.doc, "https://www.vertex42.com/lambda/fibonacci.html", _xlpm.sequence_tf, IF(ISBLANK(_xlpm.sequence_tf), TRUE, _xlpm.sequence_tf), IF(_xlpm.sequence_tf = TRUE, IF(_xlpm.n = 1, 0, IF(_xlpm.n = 2, {0;1}, _xlfn.REDUCE({0;1}, _xlfn.SEQUENCE(_xlpm.n - 2, 1, 3, 1), _xlfn.LAMBDA(_xlpm.acc,_xlpm.i, _xlfn.VSTACK(_xlpm.acc, INDEX(_xlpm.acc, _xlpm.i - 2) + INDEX(_xlpm.acc, _xlpm.i - 1)))))), _xlfn.LET(_xlpm.phi, (1 + SQRT(5)) / 2, _xlpm.psi, (1 - SQRT(5)) / 2, (_xlpm.phi ^ _xlpm.n - _xlpm.psi ^ _xlpm.n) / (_xlpm.phi - _xlpm.psi))))))</definedName>
    <definedName name="L.FLIP" comment="Reverses the order of the rows of an array, unless it is a single row or _x000a_dimension=2, then reverses the columns">_xlfn.LAMBDA(_xlpm.array,_xlop.dimension, _xlfn.LET(_xlpm.doc, "https://www.vertex42.com/lambda/flip.html", _xlpm.dimension, IF(_xlfn.ISOMITTED(_xlpm.dimension), 1, _xlpm.dimension), _xlpm.rows, ROWS(_xlpm.array), _xlpm.cols, COLUMNS(_xlpm.array), IF(OR(_xlpm.dimension = 2, _xlpm.rows = 1), _xlfn.CHOOSECOLS(_xlpm.array, _xlfn.SEQUENCE(1, _xlpm.cols, _xlpm.cols, -1)), _xlfn.CHOOSEROWS(_xlpm.array, _xlfn.SEQUENCE(_xlpm.rows, 1, _xlpm.rows, -1)))))</definedName>
    <definedName name="L.FLIPLR" comment="Reverses the order of the columns of an array">_xlfn.LAMBDA(_xlpm.array, _xlfn.LET(_xlpm.doc, "https://www.vertex42.com/lambda/flip.html", _xlpm.cols, COLUMNS(_xlpm.array), _xlfn.CHOOSECOLS(_xlpm.array, _xlfn.SEQUENCE(1, _xlpm.cols, _xlpm.cols, -1))))</definedName>
    <definedName name="L.FLIPUD" comment="Reverses the order of the rows of an array">_xlfn.LAMBDA(_xlpm.array, _xlfn.LET(_xlpm.doc, "https://www.vertex42.com/lambda/flip.html", _xlpm.rows, ROWS(_xlpm.array), _xlfn.CHOOSEROWS(_xlpm.array, _xlfn.SEQUENCE(_xlpm.rows, 1, _xlpm.rows, -1))))</definedName>
    <definedName name="L.HESS" comment="Return the Hessenberg of a square matrix using the Householder transformation algorithm.">_xlfn.LAMBDA(_xlpm.matrix,_xlop.output_form, IF(ROWS(_xlpm.matrix) &lt;&gt; COLUMNS(_xlpm.matrix), "Error: not square", IF(ROWS(_xlpm.matrix) &lt; 3, "Must be &gt; 2x2", _xlfn.LET(_xlpm.doc, "https://www.vertex42.com/labmda/hess.html", _xlpm.output_form, IF(_xlfn.ISOMITTED(_xlpm.output_form), "H", _xlpm.output_form), _xlpm.n, ROWS(_xlpm.matrix), _xlpm.ks, _xlfn.SEQUENCE(_xlpm.n - 2), _xlpm.HUk, _xlfn.REDUCE(_xlfn.VSTACK(_xlpm.matrix, _xlfn.MUNIT(_xlpm.n)), _xlpm.ks, _xlfn.LAMBDA(_xlpm.acc,_xlpm.k, _xlfn.LET(_xlpm.Amat, _xlfn.DROP(_xlpm.acc, -_xlpm.n), _xlpm.x, _xlfn.DROP(INDEX(_xlpm.Amat, 0, _xlpm.k), _xlpm.k), _xlpm.v, _xlpm.x + SIGN(INDEX(_xlpm.x, 1)) * _xlfn.VSTACK(SQRT(SUM(_xlpm.x ^ 2)), _xlfn.SEQUENCE(ROWS(_xlpm.x) - 1, 1, 0, 0)), _xlpm.Pk, _xlfn.MUNIT(ROWS(_xlpm.x)) - 2 * MMULT(_xlpm.v, TRANSPOSE(_xlpm.v)) / MMULT(TRANSPOSE(_xlpm.v), _xlpm.v), _xlpm.Uk, _xlfn.VSTACK(_xlfn.HSTACK(_xlfn.MUNIT(_xlpm.k), _xlfn.SEQUENCE(_xlpm.k, _xlpm.n - _xlpm.k, 0, 0)), _xlfn.HSTACK(_xlfn.SEQUENCE(_xlpm.n - _xlpm.k, _xlpm.k, 0, 0), _xlpm.Pk)), _xlpm.new_A, MMULT(MMULT(_xlpm.Uk, _xlpm.Amat), _xlpm.Uk), _xlfn.VSTACK(_xlpm.new_A, MMULT(_xlpm.Uk, _xlfn.DROP(_xlpm.acc, _xlpm.n)))))), _xlpm.H, _xlfn.DROP(_xlpm.HUk, -_xlpm.n, 0), IF(_xlpm.output_form = "HU", _xlfn.VSTACK(_xlpm.H, TRANSPOSE(_xlfn.DROP(_xlpm.HUk, _xlpm.n, 0))), _xlpm.H)))))</definedName>
    <definedName name="L.HSTACK_ForEach" comment="HSTACK the result of expression for each value in a vector_x000a_e.g. HSTACK_ForEach(vector, LAMBDA(val, SEQUENCE(val) ) ))">_xlfn.LAMBDA(_xlpm.vector,_xlpm.lambda_function, _xlfn.LET(_xlpm.doc, "https://www.vertex42.com/lambda/byrow2d.html", _xlfn.DROP(_xlfn.REDUCE("", _xlpm.vector, _xlfn.LAMBDA(_xlpm.acc,_xlpm.val, _xlfn.HSTACK(_xlpm.acc, _xlpm.lambda_function(_xlpm.val)))), , 1)))</definedName>
    <definedName name="L.IM_CTRANSPOSE" comment="Returns the Conjugate Transpose of a Complex Matrix_x000a_Equal to TRANSPOSE if values are Real">_xlfn.LAMBDA(_xlpm.matrix, _xlfn.LET(_xlpm.doc, "https://www.vertex42.com/lambda/complex.html", TRANSPOSE(_xlfn.MAP(_xlpm.matrix, _xlfn.LAMBDA(_xlpm.cell, IMCONJUGATE(_xlpm.cell))))))</definedName>
    <definedName name="L.IM_DOT" comment="Returns the Complex Dot Product of two vectors_x000a_a={&quot;1+i&quot;;&quot;-i&quot;}, b={&quot;3+i&quot;;&quot;1-4i&quot;}_x000a_Equal to SUMPRODUCT if values are Real, but not IM_SUMPRODUCT">_xlfn.LAMBDA(_xlpm.a_vec,_xlpm.b_vec, _xlfn.LET(_xlpm.doc, "https://www.vertex42.com/lambda/complex.html", IMSUM(_xlfn.MAP(_xlpm.a_vec, _xlpm.b_vec, _xlfn.LAMBDA(_xlpm.ai,_xlpm.bi, IMPRODUCT(_xlpm.ai, IMCONJUGATE(_xlpm.bi)))))))</definedName>
    <definedName name="L.IM_ISCOMPLEX" comment="Checks if there is at least one values in an array that is a complex number_x000a_and if all values can be treated as complex numbers">_xlfn.LAMBDA(_xlpm.matrix, _xlfn.LET(_xlpm.doc, "https://www.vertex42.com/lambda/complex.html", _xlpm.istext, IF(SUM(--ISTEXT(_xlpm.matrix)) &gt; 0, TRUE, FALSE), _xlpm.isinum, IF(SUM(--ISERROR(_xlfn.MAP(_xlpm.matrix, _xlfn.LAMBDA(_xlpm.cell, IMSUM(_xlpm.cell, _xlpm.cell))))) &gt; 0, FALSE, TRUE), AND(_xlpm.istext, _xlpm.isinum)))</definedName>
    <definedName name="L.IM_ISHERMITIAN" comment="Returns TRUE if the matrix is equal to its conjugate transpose">_xlfn.LAMBDA(_xlpm.matrix, _xlfn.LET(_xlpm.doc, "https://www.vertex42.com/lambda/complex.html", _xlpm.matrix, L.IM_CTRANSPOSE(L.IM_CTRANSPOSE(_xlpm.matrix)), IF(ROWS(_xlpm.matrix) &lt;&gt; COLUMNS(_xlpm.matrix), FALSE, SUM(--(_xlpm.matrix &lt;&gt; L.IM_CTRANSPOSE(_xlpm.matrix))) = 0)))</definedName>
    <definedName name="L.IM_MMULT" comment="Returns the matrix multiplication of two complex matrices_x000a_Equal to MMULT if values are Real">_xlfn.LAMBDA(_xlpm.a_mat,_xlpm.b_mat, _xlfn.LET(_xlpm.doc, "https://www.vertex42.com/lambda/complex.html", _xlpm.m, ROWS(_xlpm.a_mat), _xlpm.n, COLUMNS(_xlpm.b_mat), IF(COLUMNS(_xlpm.a_mat) &lt;&gt; ROWS(_xlpm.b_mat), "Error: invalid sizes", _xlfn.MAKEARRAY(_xlpm.m, _xlpm.n, _xlfn.LAMBDA(_xlpm.i,_xlpm.j, L.IM_SUMPRODUCT(TRANSPOSE(INDEX(_xlpm.a_mat, _xlpm.i, 0)), INDEX(_xlpm.b_mat, 0, _xlpm.j)))))))</definedName>
    <definedName name="L.IM_ROUND" comment="Rounds the Real and Imaginary coefficients separately to num_digits">_xlfn.LAMBDA(_xlpm.inumber,_xlpm.num_digits, _xlfn.LET(_xlpm.doc, "https://www.vertex42.com/lambda/complex.html", _xlpm.num_digits, IF(_xlfn.ISOMITTED(_xlpm.num_digits), {"",""}, _xlpm.num_digits), _xlpm.rdigits, INDEX(_xlpm.num_digits, 1), _xlpm.idigits, IF(OR(ROWS(_xlpm.num_digits) &gt; 1, COLUMNS(_xlpm.num_digits) &gt; 1), INDEX(_xlpm.num_digits, 2), _xlpm.rdigits), _xlfn.MAP(_xlpm.inumber, _xlfn.LAMBDA(_xlpm.inum, _xlfn.LET(_xlpm.real, IF(ISBLANK(_xlpm.rdigits), IMREAL(_xlpm.inum), ROUND(IMREAL(_xlpm.inum), _xlpm.rdigits)), _xlpm.imag, IF(ISBLANK(_xlpm.idigits), IMAGINARY(_xlpm.inum), ROUND(IMAGINARY(_xlpm.inum), _xlpm.idigits)), IF(_xlpm.imag = 0, _xlpm.real, COMPLEX(_xlpm.real, _xlpm.imag)))))))</definedName>
    <definedName name="L.IM_ROUNDTOZERO" comment="If |coefficient| is less than epsilon (default=1E-14), make it equal zero">_xlfn.LAMBDA(_xlpm.inumber,_xlop.epsilon, _xlfn.LET(_xlpm.doc, "https://www.vertex42.com/lambda/complex.html", _xlpm.epsilon, IF(_xlfn.ISOMITTED(_xlpm.epsilon), 0.00000000000001, _xlpm.epsilon), _xlfn.MAP(_xlpm.inumber, _xlfn.LAMBDA(_xlpm.inum, _xlfn.LET(_xlpm.real, IF(ABS(IMREAL(_xlpm.inum)) &lt; _xlpm.epsilon, 0, IMREAL(_xlpm.inum)), _xlpm.imag, IF(ABS(IMAGINARY(_xlpm.inum)) &lt; _xlpm.epsilon, 0, IMAGINARY(_xlpm.inum)), IF(_xlpm.imag = 0, _xlpm.real, COMPLEX(_xlpm.real, _xlpm.imag)))))))</definedName>
    <definedName name="L.IM_SUMPRODUCT" comment="Returns the sum of the element-wise product of complex vectors a and b_x000a_Equal to SUMPRODUCT if values are Real, but not IM_DOT">_xlfn.LAMBDA(_xlpm.a_vec,_xlpm.b_vec, _xlfn.LET(_xlpm.doc, "https://www.vertex42.com/lambda/complex.html", IMSUM(_xlfn.MAP(_xlpm.a_vec, _xlpm.b_vec, _xlfn.LAMBDA(_xlpm.ai,_xlpm.bi, IMPRODUCT(_xlpm.ai, _xlpm.bi))))))</definedName>
    <definedName name="L.IM_TOARRAY" comment="Converts a Complex Number z=x+yi to an array of coefficients {x,y}">_xlfn.LAMBDA(_xlpm.inumber, _xlfn.LET(_xlpm.doc, "https://www.vertex42.com/lambda/complex.html", _xlfn.MAKEARRAY(ROWS(_xlpm.inumber), 2, _xlfn.LAMBDA(_xlpm.i,_xlpm.j, IF(_xlpm.j = 1, IMREAL(INDEX(_xlpm.inumber, _xlpm.i)), IMAGINARY(INDEX(_xlpm.inumber, _xlpm.i)))))))</definedName>
    <definedName name="L.ISARRAY" comment="Returns TRUE if columns&gt;1 and rows&gt;1">_xlfn.LAMBDA(_xlpm.array, OR(COLUMNS(_xlpm.array) &gt; 1, ROWS(_xlpm.array) &gt; 1))</definedName>
    <definedName name="L.ISCOLUMN" comment="Returns TRUE if columns=1 and rows&gt;1">_xlfn.LAMBDA(_xlpm.array, AND(ROWS(_xlpm.array) &gt; 1, COLUMNS(_xlpm.array) = 1))</definedName>
    <definedName name="L.ISPOSDEF" comment="Returns TRUE if the matrix is positive definite_x000a_Checks if all upper-left determinants are greater than zero">_xlfn.LAMBDA(_xlpm.matrix, _xlfn.LET(_xlpm.doc, "https://www.vertex42.com/lambda/", _xlfn.REDUCE(TRUE, _xlfn.SEQUENCE(ROWS(_xlpm.matrix)), _xlfn.LAMBDA(_xlpm.acc,_xlpm.i, AND(_xlpm.acc, MDETERM(_xlfn.CHOOSEROWS(_xlfn.CHOOSECOLS(_xlpm.matrix, _xlfn.SEQUENCE(_xlpm.i)), _xlfn.SEQUENCE(_xlpm.i))) &gt; 0)))))</definedName>
    <definedName name="L.ISPRIME" comment="Check if a number or array of numbers is prime.">_xlfn.LAMBDA(_xlpm.n, _xlfn.LET(_xlpm.doc, "https://w=ww.vertex42.com/lambda/isprime.html", _xlpm.version, "1/16/2025 - Updated to account for max n", _xlpm.primes, {2;3;5;7;11;13;17;19;23;29;31;37;41;43;47;53;59;61;67;71;73;79;83;89;97;101;103;107;109;113;127;131;137;139;149;151;157;163;167;173;179;181;191;193;197;199;211;223;227;229;233;239;241;251;257;263;269;271;277;281;283;293;307;311;313;317;331;337;347;349;353;359;367;373;379;383;389;397;401;409;419;421;431;433;439;443;449;457;461;463;467;479;487;491;499;503;509;521;523;541;547;557;563;569;571;577;587;593;599;601;607;613;617;619;631;641;643;647;653;659;661;673;677;683;691;701;709;719;727;733;739;743;751;757;761;769;773;787;797;809;811;821;823;827;829;839;853;857;859;863;877;881;883;887;907;911;919;929;937;941;947;953;967;971;977;983;991;997}, _xlfn.MAKEARRAY(ROWS(_xlpm.n), COLUMNS(_xlpm.n), _xlfn.LAMBDA(_xlpm.i,_xlpm.j, _xlfn.LET(_xlpm.v, INDEX(_xlpm.n, _xlpm.i, _xlpm.j), IF(OR(NOT(ISNUMBER(_xlpm.v)), _xlpm.v &lt; 2, INT(_xlpm.v) &lt;&gt; _xlpm.v, AND(_xlpm.v &lt;&gt; 2, ISEVEN(_xlpm.v))), FALSE, IF(_xlpm.v &lt; 1000, ISNUMBER(_xlfn.XMATCH(_xlpm.v, _xlpm.primes, 0)), _xlfn.LET(_xlpm.test_divisors, _xlfn.VSTACK(2, 3, 5, 7, 11, 13, 17, 19, 23, 29, _xlfn.TOCOL(_xlfn.SEQUENCE(INT((SQRT(_xlpm.v)) / 30)) * 30 + {1,7,11,13,17,19,23,29})), MIN(MOD(_xlpm.v / _xlpm.test_divisors, 1)) &gt; 0))))))))</definedName>
    <definedName name="L.ISROW" comment="Returns TRUE if columns&gt;1 and rows=1">_xlfn.LAMBDA(_xlpm.array, AND(COLUMNS(_xlpm.array) &gt; 1, ROWS(_xlpm.array) = 1))</definedName>
    <definedName name="L.ISSYMMETRIC" comment="Returns TRUE if the matrix is symmetric">_xlfn.LAMBDA(_xlpm.matrix, _xlfn.LET(_xlpm.doc, "https://www.vertex42.com/lambda/", IF(ROWS(_xlpm.matrix) &lt;&gt; COLUMNS(_xlpm.matrix), "Error: matrix not square", SUM(--(_xlpm.matrix &lt;&gt; TRANSPOSE(_xlpm.matrix))) = 0)))</definedName>
    <definedName name="L.ISUNIFORM" comment="Returns {TRUE;step} if the vector is uniformly spaced (all the_x000a_steps are identical to a precision of n decimal places)_x000a_If FALSE, returns {FALSE, MAX(steps)-MIN(steps)}">_xlfn.LAMBDA(_xlpm.vector,_xlop.precision_n, _xlfn.LET(_xlpm.doc, "https://www.vertex42.com/lambda/isuniform.html", _xlpm.rows, ROWS(_xlpm.vector), _xlpm.cols, COLUMNS(_xlpm.vector), _xlpm.vector, _xlfn.TAKE(IF(AND(_xlpm.cols &gt; 1, _xlpm.rows = 1), TRANSPOSE(_xlpm.vector), _xlpm.vector), , 1), _xlpm.steps, _xlfn.DROP(_xlpm.vector, 1) - _xlfn.DROP(_xlpm.vector, -1), _xlpm.unique_steps, _xlfn.UNIQUE(IF(_xlfn.ISOMITTED(_xlpm.precision_n), _xlpm.steps, ROUND(_xlpm.steps, _xlpm.precision_n))), IF(ROWS(_xlpm.unique_steps) = 1, _xlfn.VSTACK(TRUE, _xlpm.unique_steps), _xlfn.VSTACK(FALSE, MAX(_xlpm.unique_steps) - MIN(_xlpm.unique_steps)))))</definedName>
    <definedName name="L.ISVECTOR" comment="Returns TRUE if one of the dimensions is 1">_xlfn.LAMBDA(_xlpm.array, OR(ROWS(_xlpm.array) = 1, COLUMNS(_xlpm.array) = 1))</definedName>
    <definedName name="L.LINSPACE" comment="Create a vector on interval [start,end] with n linearly spaced points_x000a_LINSPACE(2,3,5) = {2; 2.25; 2.5; 2.75; 3}">_xlfn.LAMBDA(_xlpm.start,_xlpm.end,_xlpm.n, _xlfn.LET(_xlpm.doc, "https://www.vertex42.com/lambda/linspace.html", _xlfn.SEQUENCE(_xlpm.n, 1, _xlpm.start, (_xlpm.end - _xlpm.start) / (_xlpm.n - 1))))</definedName>
    <definedName name="L.LINTERP" comment="Linearly interpolate between the two nearest points in a table lookup">_xlfn.LAMBDA(_xlpm.xs,_xlpm.known_xs,_xlpm.known_ys, _xlfn.LET(_xlpm.doc, "https://www.vertex42.com/lambda/linterp.html", _xlpm.xs, IF(AND(ROWS(_xlpm.xs) = 1, COLUMNS(_xlpm.xs) &gt; 1), TRANSPOSE(_xlpm.xs), _xlpm.xs), _xlpm.known_xs, IF(AND(ROWS(_xlpm.known_xs) = 1, COLUMNS(_xlpm.known_xs) &gt; 1), TRANSPOSE(_xlpm.known_xs), _xlpm.known_xs), _xlpm.known_ys, IF(AND(ROWS(_xlpm.known_ys) = 1, COLUMNS(_xlpm.known_ys) &gt; 1), TRANSPOSE(_xlpm.known_ys), _xlpm.known_ys), _xlpm.tab, _xlfn._xlws.SORT(_xlfn.HSTACK(_xlpm.known_xs, _xlpm.known_ys)), _xlfn.BYROW(_xlpm.xs, _xlfn.LAMBDA(_xlpm.x, _xlfn.LET(_xlpm.ind, MATCH(_xlpm.x, INDEX(_xlpm.tab, 0, 1), 1), _xlpm.pts, IF(_xlpm.x &lt;= MIN(_xlpm.known_xs), _xlfn.TAKE(_xlpm.tab, 2), IF(_xlpm.x &gt;= MAX(_xlpm.known_xs), _xlfn.TAKE(_xlpm.tab, -2), _xlfn.CHOOSEROWS(_xlpm.tab, _xlpm.ind, _xlpm.ind + 1))), SLOPE(INDEX(_xlpm.pts, , 2), INDEX(_xlpm.pts, , 1)) * _xlpm.x + INTERCEPT(INDEX(_xlpm.pts, , 2), INDEX(_xlpm.pts, , 1)))))))</definedName>
    <definedName name="L.LOGSPACE" comment="Create a vector on interval [10^start,10^end] with n logarithmically spaced points_x000a_LOGSPACE(1,2,5) = {10; 17.8; 31.6; 56.2; 100}">_xlfn.LAMBDA(_xlpm.start,_xlpm.end,_xlpm.n, _xlfn.LET(_xlpm.doc, "https://www.vertex42.com/lambda/logspace.html", 10 ^ _xlfn.SEQUENCE(_xlpm.n, 1, _xlpm.start, (_xlpm.end - _xlpm.start) / (_xlpm.n - 1))))</definedName>
    <definedName name="L.MAGNITUDE" comment="Returns the magnitude (2-norm) of a vector or the magnitude of each column of a matrix">_xlfn.LAMBDA(_xlpm.vector, _xlfn.LET(_xlpm.doc, "https://www.vertex42.com/lambda/magnitude.html", _xlpm.vec, IF(AND(ROWS(_xlpm.vector) = 1, COLUMNS(_xlpm.vector) &gt; 1), TRANSPOSE(_xlpm.vector), _xlpm.vector), IF(COLUMNS(_xlpm.vec) &gt; 1, SQRT(L.COLSUM(_xlpm.vec * _xlpm.vec)), SQRT(SUM(_xlpm.vec * _xlpm.vec)))))</definedName>
    <definedName name="L.MESHGRID" comment="Creates a set of 2D grid coordinates with x- and y-coordinates defined by _x000a_vectors x and y. Returns the coordinates as two columns of (x,y) pairs.">_xlfn.LAMBDA(_xlpm.xvec,_xlpm.yvec,_xlop.return_option, _xlfn.LET(_xlpm.doc, "https://www.vertex42.com/lambda/meshgrid.html", _xlpm.xvec, IF(AND(ROWS(_xlpm.xvec) = 1, COLUMNS(_xlpm.xvec) &gt; 1), TRANSPOSE(_xlpm.xvec), _xlpm.xvec), _xlpm.yvec, IF(AND(ROWS(_xlpm.yvec) = 1, COLUMNS(_xlpm.yvec) &gt; 1), TRANSPOSE(_xlpm.yvec), _xlpm.yvec), _xlpm.xn, ROWS(_xlpm.xvec), _xlpm.yn, ROWS(_xlpm.yvec), _xlpm.xM, _xlfn.MAKEARRAY(_xlpm.yn, _xlpm.xn, _xlfn.LAMBDA(_xlpm.i,_xlpm.j, INDEX(TRANSPOSE(_xlpm.xvec), 1, _xlpm.j))), _xlpm.yM, _xlfn.MAKEARRAY(_xlpm.yn, _xlpm.xn, _xlfn.LAMBDA(_xlpm.i,_xlpm.j, INDEX(_xlpm.yvec, _xlpm.i, 1))), IF(_xlpm.return_option = "X", _xlpm.xM, IF(_xlpm.return_option = "Y", _xlpm.yM, _xlfn.HSTACK(_xlfn.TOCOL(_xlpm.xM), _xlfn.TOCOL(_xlpm.yM))))))</definedName>
    <definedName name="L.NSPLINE" comment="Natural Cubic Spline - Creates a C2 Interpolating Spline with d2y/dx2=0 at the endpoints.">_xlfn.LAMBDA(_xlpm.known_xs,_xlpm.known_ys,_xlop.x, _xlfn.LET(_xlpm.doc, "https://www.vertex42.com/lambda/nspline.html", _xlpm.version, "1.0.1 - Updated commenting", _xlpm.xs, IF(AND(ROWS(_xlpm.known_xs) = 1, COLUMNS(_xlpm.known_xs) &gt; 1), TRANSPOSE(_xlpm.known_xs), _xlpm.known_xs), _xlpm.ys, IF(AND(ROWS(_xlpm.known_ys) = 1, COLUMNS(_xlpm.known_ys) &gt; 1), TRANSPOSE(_xlpm.known_ys), _xlpm.known_ys), _xlpm.h, _xlfn.DROP(_xlpm.xs, 1) - _xlfn.DROP(_xlpm.xs, -1), _xlpm.n, ROWS(_xlpm.xs), _xlpm.alpha, 3 / _xlfn.DROP(_xlpm.h, 1) * (_xlfn.DROP(_xlpm.ys, 2) - _xlfn.DROP(_xlfn.DROP(_xlpm.ys, 1), -1)) - 3 / _xlfn.DROP(_xlpm.h, -1) * (_xlfn.DROP(_xlfn.DROP(_xlpm.ys, 1), -1) - _xlfn.DROP(_xlpm.ys, -2)), _xlpm.l_mu_z, _xlfn.REDUCE({1,0,0}, _xlfn.SEQUENCE(_xlpm.n - 2, 1, 2, 1), _xlfn.LAMBDA(_xlpm.acc,_xlpm.i, _xlfn.LET(_xlpm.mu_o, INDEX(_xlpm.acc, _xlpm.i - 1, 2), _xlpm.z_o, INDEX(_xlpm.acc, _xlpm.i - 1, 3), _xlpm.li, 2 * (INDEX(_xlpm.xs, _xlpm.i + 1) - INDEX(_xlpm.xs, _xlpm.i - 1)) - INDEX(_xlpm.h, _xlpm.i - 1) * _xlpm.mu_o, _xlpm.mui, INDEX(_xlpm.h, _xlpm.i) / _xlpm.li, _xlpm.zi, (INDEX(_xlpm.alpha, _xlpm.i - 1) - INDEX(_xlpm.h, _xlpm.i - 1) * _xlpm.z_o) / _xlpm.li, _xlpm.ret, _xlfn.VSTACK(_xlpm.acc, _xlfn.HSTACK(_xlpm.li, _xlpm.mui, _xlpm.zi)), IF(_xlpm.i = _xlpm.n - 1, _xlfn.VSTACK(_xlpm.ret, {1,0,0}), _xlpm.ret)))), _xlpm.li, INDEX(_xlpm.l_mu_z, , 1), _xlpm.mui, INDEX(_xlpm.l_mu_z, , 2), _xlpm.zi, INDEX(_xlpm.l_mu_z, , 3), _xlpm.d_c_b, _xlfn.REDUCE({0,0,0}, _xlfn.SEQUENCE(_xlpm.n - 1, 1, _xlpm.n - 1, -1), _xlfn.LAMBDA(_xlpm.acc,_xlpm.j, _xlfn.LET(_xlpm.co, INDEX(_xlpm.acc, 1, 2), _xlpm.cj, INDEX(_xlpm.zi, _xlpm.j) - INDEX(_xlpm.mui, _xlpm.j) * _xlpm.co, _xlpm.bj, (INDEX(_xlpm.ys, _xlpm.j + 1) - INDEX(_xlpm.ys, _xlpm.j)) / INDEX(_xlpm.h, _xlpm.j) - 1 / 3 * INDEX(_xlpm.h, _xlpm.j) * (_xlpm.co + 2 * _xlpm.cj), _xlpm.dj, (_xlpm.co - _xlpm.cj) / (3 * INDEX(_xlpm.h, _xlpm.j)), _xlpm.ret, _xlfn.VSTACK(_xlfn.HSTACK(_xlpm.dj, _xlpm.cj, _xlpm.bj), _xlpm.acc), _xlpm.ret))), _xlpm.pp, _xlfn.MAP(_xlfn.HSTACK(_xlpm.xs, _xlfn.DROP(_xlfn.HSTACK(_xlpm.d_c_b, _xlpm.ys), -1)), _xlfn.LAMBDA(_xlpm.cell, IFERROR(_xlpm.cell, ""))), _xlpm.m_1, L.POLYVAL(L.POLYDER(_xlfn.DROP(_xlfn.CHOOSEROWS(_xlpm.pp, 1), 0, 1)), 0), _xlpm.b_1, INDEX(_xlpm.known_ys, 1, 1) - _xlpm.m_1 * INDEX(_xlpm.known_xs, 1, 1), _xlpm.m_n, L.POLYVAL(L.POLYDER(_xlfn.DROP(_xlfn.CHOOSEROWS(_xlpm.pp, _xlpm.n - 1), 0, 1)), INDEX(_xlpm.pp, _xlpm.n, 1) - INDEX(_xlpm.pp, _xlpm.n - 1, 1)), _xlpm.b_n, INDEX(_xlpm.known_ys, _xlpm.n, 1) - _xlpm.m_n * INDEX(_xlpm.known_xs, _xlpm.n, 1), IF(_xlfn.ISOMITTED(_xlpm.x), _xlpm.pp, (_xlpm.x &lt; INDEX(_xlpm.known_xs, 1, 1)) * (_xlpm.m_1 * _xlpm.x + _xlpm.b_1) + (_xlpm.x &gt; INDEX(_xlpm.known_xs, _xlpm.n, 1)) * (_xlpm.m_n * _xlpm.x + _xlpm.b_n) + IFERROR(L.PPVAL(_xlpm.pp, _xlpm.x), 0))))</definedName>
    <definedName name="L.ONES" comment="ONES(array) :: Returns a matrix of 1s the size of array_x000a_ONES(m,[n]) :: Returns a matrix of 1s the size of m x n (default n=1)">_xlfn.LAMBDA(_xlpm.m_rows,_xlop.n_columns, _xlfn.LET(_xlpm.doc, "https://www.vertex42.com/lambda/ones-and-zeros.html", _xlpm.rows, ROWS(_xlpm.m_rows), _xlpm.cols, COLUMNS(_xlpm.m_rows), IF(OR(_xlpm.rows &gt; 1, _xlpm.cols &gt; 1), _xlfn.SEQUENCE(_xlpm.rows, _xlpm.cols, 1, 0), IF(_xlfn.ISOMITTED(_xlpm.n_columns), _xlfn.SEQUENCE(_xlpm.m_rows, 1, 1, 0), _xlfn.SEQUENCE(_xlpm.m_rows, _xlpm.n_columns, 1, 0)))))</definedName>
    <definedName name="L.PASCAL" comment="Returns a Pascal matrix of size nxn. Optionally specify_x000a_type=&quot;L&quot; or type=&quot;U&quot; for the lower or upper triangle form.">_xlfn.LAMBDA(_xlpm.n,_xlop.type, _xlfn.LET(_xlpm.doc, "https://www.vertex42.com/lambda/pascal.html", IF(_xlpm.n &lt; 2, "Error:n&lt;2", _xlfn.SWITCH(_xlpm.type, "L", _xlfn.MAKEARRAY(_xlpm.n, _xlpm.n, _xlfn.LAMBDA(_xlpm.r,_xlpm.c, _xlfn.LET(_xlpm.i, _xlpm.r - 1, _xlpm.j, _xlpm.c - 1, IF(_xlpm.j &lt;= _xlpm.i, FACT(_xlpm.i) / (FACT(_xlpm.j) * FACT(_xlpm.i - _xlpm.j)), 0)))), "U", _xlfn.MAKEARRAY(_xlpm.n, _xlpm.n, _xlfn.LAMBDA(_xlpm.r,_xlpm.c, _xlfn.LET(_xlpm.i, _xlpm.r - 1, _xlpm.j, _xlpm.c - 1, IF(_xlpm.i &lt;= _xlpm.j, FACT(_xlpm.j) / (FACT(_xlpm.i) * FACT(_xlpm.j - _xlpm.i)), 0)))), _xlfn.REDUCE(_xlfn.SEQUENCE(1, _xlpm.n, 1, 0), _xlfn.SEQUENCE(_xlpm.n - 1), _xlfn.LAMBDA(_xlpm.acc,_xlpm.row, _xlfn.VSTACK(_xlpm.acc, _xlfn.HSTACK(1, _xlfn.SCAN(1, _xlfn.SEQUENCE(1, _xlpm.n - 1), _xlfn.LAMBDA(_xlpm.csum,_xlpm.i, _xlpm.csum + INDEX(_xlpm.acc, _xlpm.row, _xlpm.i + 1)))))))))))</definedName>
    <definedName name="L.PDIFF" comment="Calculate the nth-Derivative of y(x) using a polynomial-based Finite Difference approximation_x000a_Default: Finds the 1st derivative at 2nd-order accuracy">_xlfn.LAMBDA(_xlpm.xs,_xlpm.ys,_xlop.nth_deriv,_xlop.order, _xlfn.LET(_xlpm.doc, "https://www.vertex42.com/lambda/pdiff.html", _xlpm.n, IF(ISBLANK(_xlpm.nth_deriv), 1, _xlpm.nth_deriv), _xlpm.order, IF(ISBLANK(_xlpm.order), 2, _xlpm.order), _xlfn.BYROW(_xlpm.xs, _xlfn.LAMBDA(_xlpm.x, _xlfn.LET(_xlpm.tab, _xlfn.TAKE(_xlfn._xlws.SORT(_xlfn.HSTACK((_xlpm.xs - _xlpm.x) ^ 2, _xlpm.xs, _xlpm.ys)), _xlpm.n + _xlpm.order), _xlpm.xo, INDEX(_xlpm.tab, 1, 2), _xlpm.poly, L.POLYFIT(INDEX(_xlpm.tab, 0, 2) - _xlpm.xo, INDEX(_xlpm.tab, 0, 3), _xlpm.n + _xlpm.order - 1), _xlpm.deriv, _xlfn.REDUCE(_xlpm.poly, _xlfn.SEQUENCE(_xlpm.n), _xlfn.LAMBDA(_xlpm.acc,_xlpm.i, L.POLYDER(_xlpm.acc))), L.POLYVAL(_xlpm.deriv, _xlpm.x - _xlpm.xo))))))</definedName>
    <definedName name="L.PERMUTATIONS" comment="Permutations of values in an array chosen n at a time with repetition">_xlfn.LAMBDA(_xlpm.array,_xlpm.n_chosen, _xlfn.LET(_xlpm.doc, "https://www.vertex42.com/lambda/permutations.html", _xlpm.array, IF(AND(COLUMNS(_xlpm.array) &gt; 1, ROWS(_xlpm.array) = 1), TRANSPOSE(_xlpm.array), _xlpm.array), _xlfn.REDUCE("", _xlfn.SEQUENCE(_xlpm.n_chosen - 1), _xlfn.LAMBDA(_xlpm.acc,_xlpm.i, IF(_xlpm.i = 1, L.COMBINATIONS(_xlpm.array, _xlpm.array), L.COMBINATIONS(_xlpm.array, _xlpm.acc))))))</definedName>
    <definedName name="L.PINTERP" comment="Polynomial interpolation between the n+1 closest points based on distance (x0-x)^2">_xlfn.LAMBDA(_xlpm.xs,_xlpm.known_xs,_xlpm.known_ys,_xlpm.n, _xlfn.LET(_xlpm.doc, "https://www.vertex42.com/lambda/pinterp.html", _xlpm.xs, IF(AND(ROWS(_xlpm.xs) = 1, COLUMNS(_xlpm.xs) &gt; 1), TRANSPOSE(_xlpm.xs), _xlpm.xs), _xlpm.known_xs, IF(AND(ROWS(_xlpm.known_xs) = 1, COLUMNS(_xlpm.known_xs) &gt; 1), TRANSPOSE(_xlpm.known_xs), _xlpm.known_xs), _xlpm.known_ys, IF(AND(ROWS(_xlpm.known_ys) = 1, COLUMNS(_xlpm.known_ys) &gt; 1), TRANSPOSE(_xlpm.known_ys), _xlpm.known_ys), _xlfn.BYROW(_xlpm.xs, _xlfn.LAMBDA(_xlpm.x, _xlfn.LET(_xlpm.tab, _xlfn.TAKE(_xlfn._xlws.SORT(_xlfn.HSTACK((_xlpm.known_xs - _xlpm.x) ^ 2, _xlpm.known_xs, _xlpm.known_ys)), _xlpm.n + 1), _xlpm.xo, INDEX(_xlpm.tab, 1, 2), L.POLYVAL(L.POLYFIT(INDEX(_xlpm.tab, 0, 2) - _xlpm.xo, INDEX(_xlpm.tab, 0, 3), _xlpm.n), _xlpm.x - _xlpm.xo))))))</definedName>
    <definedName name="L.POLYADD" comment="Add two polynomials a + b = c">_xlfn.LAMBDA(_xlpm.a,_xlpm.b,_xlop.drop_leading_zeros, _xlfn.LET(_xlpm.doc, "https://www.vertex42.com/lambda/polyadd.html", _xlpm.na, COLUMNS(_xlpm.a), _xlpm.nb, COLUMNS(_xlpm.b), _xlpm.c, IF(_xlpm.na = _xlpm.nb, _xlpm.a + _xlpm.b, IF(_xlpm.na &gt; _xlpm.nb, _xlpm.a + _xlfn.HSTACK(_xlfn.SEQUENCE(1, _xlpm.na - _xlpm.nb, 0, 0), _xlpm.b), _xlpm.b + _xlfn.HSTACK(_xlfn.SEQUENCE(1, _xlpm.nb - _xlpm.na, 0, 0), _xlpm.a))), IF(_xlpm.drop_leading_zeros = TRUE, _xlfn.DROP(_xlpm.c, 0, MATCH(TRUE, _xlpm.c &lt;&gt; 0, 0) - 1), _xlpm.c)))</definedName>
    <definedName name="L.POLYCOMPAN" comment="Returns the companion matrix for the polynomial defined by coeffs">_xlfn.LAMBDA(_xlpm.coeffs, _xlfn.LET(_xlpm.doc, "https://www.vertex42.com/lambda/polycompan.html", _xlpm.coeffs, IF(AND(ROWS(_xlpm.coeffs) &gt; 1, COLUMNS(_xlpm.coeffs) = 1), TRANSPOSE(_xlpm.coeffs), _xlpm.coeffs), _xlpm.n, COLUMNS(_xlpm.coeffs) - 1, _xlpm.m, -_xlfn.CHOOSECOLS(_xlpm.coeffs, _xlfn.SEQUENCE(1, _xlpm.n, 2, 1)) / INDEX(_xlpm.coeffs, 1), _xlfn.VSTACK(_xlpm.m, _xlfn.HSTACK(_xlfn.MUNIT(_xlpm.n - 1), _xlfn.SEQUENCE(_xlpm.n - 1, 1, 0, 0)))))</definedName>
    <definedName name="L.POLYDER" comment="Returns the derivative of the polynomial defined by coefficients in descending order of power.">_xlfn.LAMBDA(_xlpm.coeffs, _xlfn.LET(_xlpm.doc, "https://www.vertex42.com/lambda/polyder.html", _xlpm.n, COLUMNS(_xlpm.coeffs) - 1, _xlpm.powers, _xlfn.SEQUENCE(1, _xlpm.n + 1, _xlpm.n, -1), _xlfn.CHOOSECOLS(_xlpm.coeffs * _xlpm.powers, IF(_xlpm.n = 0, 1, _xlfn.SEQUENCE(_xlpm.n)))))</definedName>
    <definedName name="L.POLYDIV" comment="Divide two polynomials using long division: a/b = q remainder r_x000a_Returns polynomial q stacked vertically on top of polynomial r">_xlfn.LAMBDA(_xlpm.a,_xlpm.b, _xlfn.LET(_xlpm.doc, "https://www.vertex42.com/lambda/polydiv.html", _xlpm.na, COLUMNS(_xlpm.a), _xlpm.nb, COLUMNS(_xlpm.b), _xlpm.result, IF(_xlpm.na &lt; _xlpm.nb, _xlfn.VSTACK(0 * _xlpm.b, _xlpm.b), _xlfn.REDUCE(_xlfn.VSTACK(0 * _xlpm.a, _xlpm.a), _xlfn.SEQUENCE(_xlpm.na - _xlpm.nb + 1, 1, _xlpm.na - _xlpm.nb, -1), _xlfn.LAMBDA(_xlpm.acc,_xlpm.i, _xlfn.LET(_xlpm.dividend, _xlfn.CHOOSEROWS(_xlpm.acc, 2), _xlpm.t, INDEX(_xlpm.dividend, 1, _xlpm.na - _xlpm.nb - _xlpm.i + 1) / INDEX(_xlpm.b, 1, 1), _xlpm.tv, IF(_xlpm.i &gt; 0, _xlfn.HSTACK(_xlpm.t, _xlfn.SEQUENCE(1, _xlpm.i, 0, 0)), _xlpm.t), _xlpm.q, IF(_xlpm.i &gt; 0, _xlfn.HSTACK(_xlpm.t * _xlpm.b, _xlfn.SEQUENCE(1, _xlpm.i, 0, 0)), _xlpm.t * _xlpm.b), _xlpm.r, L.POLYADD(_xlpm.dividend, -_xlpm.q), _xlfn.VSTACK(L.POLYADD(INDEX(_xlpm.acc, 1, 0), _xlpm.tv), _xlpm.r))))), IF(_xlpm.na &gt;= _xlpm.nb, _xlfn.DROP(_xlpm.result, 0, _xlpm.nb - 1), _xlpm.result)))</definedName>
    <definedName name="L.POLYFIT" comment="Returns the coefficients for the nth-degree polynomial fit using LINEST">_xlfn.LAMBDA(_xlpm.known_xs,_xlpm.known_ys,_xlpm.n, _xlfn.LET(_xlpm.doc, "https://www.vertex42.com/lambda/polyfit.html", LINEST(_xlpm.known_ys, _xlpm.known_xs ^ _xlfn.SEQUENCE(1, _xlpm.n))))</definedName>
    <definedName name="L.POLYFROMROOTS" comment="Creates a monic polynomial from a vector of roots">_xlfn.LAMBDA(_xlpm.roots, _xlfn.LET(_xlpm.doc, "https://www.vertex42.com/lambda/polyfromroots.html", _xlpm.roots, IF(AND(ROWS(_xlpm.roots) = 1, COLUMNS(_xlpm.roots) &gt; 1), TRANSPOSE(_xlpm.roots), _xlpm.roots), _xlpm.poly, _xlfn.REDUCE(1, _xlfn.SEQUENCE(ROWS(_xlpm.roots) - 1), _xlfn.LAMBDA(_xlpm.acc,_xlpm.i, IF(_xlpm.i = 1, IF(OR(ISTEXT(INDEX(_xlpm.roots, 1)), ISTEXT(INDEX(_xlpm.roots, 2))), L.POLYMULT(_xlfn.HSTACK(1, IMPRODUCT(-1, INDEX(_xlpm.roots, 1))), _xlfn.HSTACK(1, IMPRODUCT(-1, INDEX(_xlpm.roots, 2)))), L.POLYMULT(_xlfn.HSTACK(1, -INDEX(_xlpm.roots, 1)), _xlfn.HSTACK(1, -INDEX(_xlpm.roots, 2)))), IF(OR(SUM(--ISTEXT(_xlpm.acc)) &gt; 0, ISTEXT(INDEX(_xlpm.roots, _xlpm.i + 1))), L.POLYMULT(_xlpm.acc, _xlfn.HSTACK(1, IMPRODUCT(-1, INDEX(_xlpm.roots, _xlpm.i + 1)))), L.POLYMULT(_xlpm.acc, _xlfn.HSTACK(1, -INDEX(_xlpm.roots, _xlpm.i + 1))))))), _xlpm.realpoly, _xlfn.MAP(_xlpm.poly, _xlfn.LAMBDA(_xlpm.inum, IMREAL(_xlpm.inum))), _xlpm.realpoly))</definedName>
    <definedName name="L.POLYINT" comment="Returns the integral of the polynomial with integration constant k, optionally evaluated from a to b">_xlfn.LAMBDA(_xlpm.coeffs,_xlop.k,_xlop.a,_xlop.b, _xlfn.LET(_xlpm.doc, "https://www.vertex42.com/lambda/polyint.html", _xlpm.k, IF(ISBLANK(_xlpm.k), _xlfn.SEQUENCE(ROWS(_xlpm.coeffs), 1, 0, 0), IF(ROWS(_xlpm.k) = 1, _xlfn.SEQUENCE(ROWS(_xlpm.coeffs), 1, _xlpm.k, 0), _xlpm.k)), _xlpm.n, COLUMNS(_xlpm.coeffs), _xlpm.powers, _xlfn.SEQUENCE(1, _xlpm.n, _xlpm.n, -1), _xlpm.qx, _xlfn.HSTACK(_xlpm.coeffs / _xlpm.powers, _xlpm.k), IF(AND(NOT(ISBLANK(_xlpm.a)), NOT(ISBLANK(_xlpm.b))), _xlfn.BYROW(_xlpm.qx, _xlfn.LAMBDA(_xlpm.row, L.POLYVAL(_xlpm.row, _xlpm.b) - L.POLYVAL(_xlpm.row, _xlpm.a))), _xlpm.qx)))</definedName>
    <definedName name="L.POLYMULT" comment="Multiply two polynomials a and b, represented as row vectors of coefficients_x000a_Uses the convolution algorithm for two vectors">_xlfn.LAMBDA(_xlpm.a,_xlpm.b, _xlfn.LET(_xlpm.doc, "https://www.vertex42.com/lambda/polymult.html", _xlpm.a, IF(AND(ROWS(_xlpm.a) &gt; 1, COLUMNS(_xlpm.a) = 1), TRANSPOSE(_xlpm.a), _xlpm.a), _xlpm.b, IF(AND(ROWS(_xlpm.b) &gt; 1, COLUMNS(_xlpm.b) = 1), TRANSPOSE(_xlpm.b), _xlpm.b), _xlpm.len_a, COLUMNS(_xlpm.a), _xlpm.len_b, COLUMNS(_xlpm.b), _xlpm.len_c, _xlpm.len_a + _xlpm.len_b - 1, _xlpm.coeffs, _xlfn.MAKEARRAY(1, _xlpm.len_c, _xlfn.LAMBDA(_xlpm.i,_xlpm.k, _xlfn.REDUCE(0, _xlfn.SEQUENCE(MIN(_xlpm.k, _xlpm.len_a) - MAX(1, _xlpm.k + 1 - _xlpm.len_b) + 1, 1, MAX(1, _xlpm.k + 1 - _xlpm.len_b)), _xlfn.LAMBDA(_xlpm.acc,_xlpm.j, IF(OR(ISTEXT(_xlpm.acc), ISTEXT(INDEX(_xlpm.a, _xlpm.j)), ISTEXT(INDEX(_xlpm.b, _xlpm.k - _xlpm.j + 1))), IMSUM(_xlpm.acc, IMPRODUCT(INDEX(_xlpm.a, _xlpm.j), INDEX(_xlpm.b, _xlpm.k - _xlpm.j + 1))), _xlpm.acc + INDEX(_xlpm.a, _xlpm.j) * INDEX(_xlpm.b, _xlpm.k - _xlpm.j + 1)))))), _xlfn.MAP(_xlpm.coeffs, _xlfn.LAMBDA(_xlpm.val, IF(IMAGINARY(_xlpm.val) = 0, IMREAL(_xlpm.val), _xlpm.val)))))</definedName>
    <definedName name="L.POLYROOTS" comment="Find the roots of a polynomial using the Weierstrauss method">_xlfn.LAMBDA(_xlpm.coeffs,_xlop.epsilon,_xlop.iterations,_xlop.xstart,_xlop.return_abs, _xlfn.LET(_xlpm.doc, "https://www.vertex42.com/lambda/polyroots.html", _xlpm.iterations, IF(ISBLANK(_xlpm.iterations), 42, _xlpm.iterations), _xlpm.xstart, IF(ISBLANK(_xlpm.xstart), "0.4+0.9i", _xlpm.xstart), _xlpm.return_abs, IF(ISBLANK(_xlpm.return_abs), FALSE, _xlpm.return_abs), _xlpm.n, COLUMNS(_xlpm.coeffs) - 1, _xlpm.xo, TRANSPOSE(IMPOWER(_xlpm.xstart, _xlfn.SEQUENCE(1, _xlpm.n, 0))), _xlpm.result, _xlfn.REDUCE(_xlpm.xo, _xlfn.SEQUENCE(_xlpm.iterations), _xlfn.LAMBDA(_xlpm.acc,_xlpm.k, IF(AND(NOT(ISBLANK(_xlpm.epsilon)), _xlpm.k &gt; 1, IFERROR(MAX(INDEX(_xlpm.acc, 0, 3)) &lt; _xlpm.epsilon, FALSE)), _xlpm.acc, _xlfn.LET(_xlpm.fo, IF(_xlpm.k &gt; 1, INDEX(_xlpm.acc, 0, 2), L.POLYVAL(_xlpm.coeffs, INDEX(_xlpm.acc, 0, 1))), _xlpm.xo, INDEX(_xlpm.acc, 0, 1), _xlpm.xn, _xlfn.MAKEARRAY(_xlpm.n, 1, _xlfn.LAMBDA(_xlpm.i,_xlpm.j, IMSUB(INDEX(_xlpm.xo, _xlpm.i), IMDIV(INDEX(_xlpm.fo, _xlpm.i), IMPRODUCT(IMSUB(INDEX(_xlpm.xo, _xlpm.i), _xlfn.DROP(L.CIRCSHIFT(_xlpm.xo, 1 - _xlpm.i, 1), 1))))))), _xlpm.fn, L.POLYVAL(_xlpm.coeffs, _xlpm.xn), _xlpm.fabs, _xlfn.BYROW(_xlpm.fn, _xlfn.LAMBDA(_xlpm.value, IMABS(_xlpm.value))), _xlfn.HSTACK(_xlpm.xn, _xlpm.fn, _xlpm.fabs))))), IF(_xlpm.return_abs = TRUE, _xlfn.CHOOSECOLS(_xlpm.result, {1,3}), INDEX(_xlpm.result, 0, 1))))</definedName>
    <definedName name="L.POLYSUB" comment="Subtract polynomial b from polynomial a: a - b = c">_xlfn.LAMBDA(_xlpm.a,_xlpm.b,_xlop.drop_leading_zeros, _xlfn.LET(_xlpm.doc, "https://www.vertex42.com/lambda/polyadd.html", L.POLYADD(_xlpm.a, -_xlpm.b, _xlpm.drop_leading_zeros)))</definedName>
    <definedName name="L.POLYVAL" comment="Evaluates a polynomial defined by a row vector of constant coefficients for each value of x.">_xlfn.LAMBDA(_xlpm.coeffs,_xlpm.x, _xlfn.LET(_xlpm.doc, "https://www.vertex42.com/lambda/polyval.html", _xlpm.coeffs, IF(ROWS(_xlpm.coeffs) &gt; 1, TRANSPOSE(_xlpm.coeffs), _xlpm.coeffs), _xlpm.n, COLUMNS(_xlpm.coeffs) - 1, IF(OR(ISTEXT(_xlpm.x)), _xlfn.LET(_xlpm.matrix, _xlfn.MAKEARRAY(ROWS(_xlpm.x), _xlpm.n + 1, _xlfn.LAMBDA(_xlpm.i,_xlpm.j, _xlfn.SWITCH(_xlpm.n - (_xlpm.j - 1), 0, INDEX(_xlpm.coeffs, 1, _xlpm.j), 1, IMPRODUCT(INDEX(_xlpm.coeffs, 1, _xlpm.j), INDEX(_xlpm.x, _xlpm.i)), 2, IMPRODUCT(INDEX(_xlpm.coeffs, 1, _xlpm.j), INDEX(_xlpm.x, _xlpm.i), INDEX(_xlpm.x, _xlpm.i)), IMPRODUCT(INDEX(_xlpm.coeffs, 1, _xlpm.j), IMPOWER(INDEX(_xlpm.x, _xlpm.i), _xlpm.n - (_xlpm.j - 1)))))), _xlfn.BYROW(_xlpm.matrix, _xlfn.LAMBDA(_xlpm.row, _xlfn.LET(_xlpm.sum, IMSUM(_xlpm.row), IF(IMAGINARY(_xlpm.sum) = 0, IMREAL(_xlpm.sum), _xlpm.sum))))), _xlfn.LET(_xlpm.X_mat, IF(_xlpm.n = 0, _xlfn.SEQUENCE(ROWS(_xlpm.x), 1, 1, 0), _xlfn.HSTACK(_xlpm.x ^ _xlfn.SEQUENCE(1, _xlpm.n, _xlpm.n, -1), _xlfn.SEQUENCE(ROWS(_xlpm.x), 1, 1, 0))), _xlfn.BYROW(_xlpm.coeffs * _xlpm.X_mat, _xlfn.LAMBDA(_xlpm.row, SUM(_xlpm.row)))))))</definedName>
    <definedName name="L.PPDER" comment="Derivative of a Piecewise Polynomial">_xlfn.LAMBDA(_xlpm.pp_array, _xlfn.LET(_xlpm.doc, "https://www.vertex42.com/lambda/ppder.html", _xlpm.breaks, INDEX(_xlpm.pp_array, 0, 1), _xlpm.pieces, ROWS(_xlpm.breaks) - 1, _xlpm.coeffs, _xlfn.DROP(_xlpm.pp_array, -1, 1), _xlpm.newcoeffs, _xlfn.REDUCE(0, _xlfn.SEQUENCE(_xlpm.pieces), _xlfn.LAMBDA(_xlpm.acc,_xlpm.i, _xlfn.LET(_xlpm.deriv, L.POLYDER(_xlfn.CHOOSEROWS(_xlpm.coeffs, _xlpm.i)), IF(_xlpm.i = 1, _xlpm.deriv, _xlfn.VSTACK(_xlpm.acc, _xlpm.deriv))))), _xlfn.MAP(_xlfn.HSTACK(_xlpm.breaks, _xlpm.newcoeffs), _xlfn.LAMBDA(_xlpm.cell, IFERROR(_xlpm.cell, "")))))</definedName>
    <definedName name="L.PPINT" comment="Definite Integral of a Piecewise Polynomial from a to b">_xlfn.LAMBDA(_xlpm.pp_array,_xlop.a,_xlop.b,_xlop.cumulative, _xlfn.LET(_xlpm.doc, "https://www.vertex42.com/lambda/ppint.html", _xlpm.breaks, INDEX(_xlpm.pp_array, 0, 1), _xlpm.pieces, ROWS(_xlpm.breaks) - 1, _xlpm.coeffs, _xlfn.DROP(_xlpm.pp_array, -1, 1), _xlpm.a, IF(OR(ISBLANK(_xlpm.a), _xlpm.a &lt; INDEX(_xlpm.breaks, 1)), INDEX(_xlpm.breaks, 1), _xlpm.a), _xlpm.b, IF(OR(ISBLANK(_xlpm.b), _xlpm.b &gt; INDEX(_xlpm.breaks, _xlpm.pieces + 1)), INDEX(_xlpm.breaks, _xlpm.pieces + 1), _xlpm.b), _xlpm.areas, _xlfn.SCAN(0, _xlfn.SEQUENCE(_xlpm.pieces + 1), _xlfn.LAMBDA(_xlpm.acc,_xlpm.i, IF(_xlpm.i = 1, 0, _xlfn.LET(_xlpm.x_1, INDEX(_xlpm.breaks, _xlpm.i - 1), _xlpm.x_2, INDEX(_xlpm.breaks, _xlpm.i), IF(NOT(AND(_xlpm.a &lt; INDEX(_xlpm.breaks, _xlpm.i), _xlpm.b &gt; INDEX(_xlpm.breaks, _xlpm.i - 1))), _xlpm.acc + 0, _xlpm.acc + L.POLYINT(_xlfn.CHOOSEROWS(_xlpm.coeffs, _xlpm.i - 1), , MAX(0, _xlpm.a - _xlpm.x_1), MIN(_xlpm.b, _xlpm.x_2) - _xlpm.x_1)))))), IF(_xlpm.cumulative = TRUE, _xlpm.areas, INDEX(_xlpm.areas, _xlpm.pieces + 1, 1))))</definedName>
    <definedName name="L.PPVAL" comment="Evaluate a Piecewise Polynomial at each value of x">_xlfn.LAMBDA(_xlpm.pp_array,_xlpm.xvec, _xlfn.LET(_xlpm.doc, "https://www.vertex42.com/lambda/ppval.html", _xlpm.breaks, INDEX(_xlpm.pp_array, 0, 1), _xlpm.pieces, ROWS(_xlpm.breaks) - 1, _xlpm.coeffs, _xlfn.DROP(_xlpm.pp_array, -1, 1), _xlfn.MAP(_xlpm.xvec, _xlfn.LAMBDA(_xlpm.x, IF(OR(_xlpm.x &lt; MIN(_xlpm.breaks), _xlpm.x &gt; MAX(_xlpm.breaks)), NA(), _xlfn.LET(_xlpm.row, IF(_xlpm.x = INDEX(_xlpm.breaks, _xlpm.pieces + 1, 1), _xlpm.pieces, MATCH(_xlpm.x, _xlpm.breaks, 1)), L.POLYVAL(INDEX(_xlpm.coeffs, _xlpm.row, 0), _xlpm.x - INDEX(_xlpm.breaks, _xlpm.row))))))))</definedName>
    <definedName name="L.Primes" comment="Primes(n) returns the first n prime numbers less than 10000._x000a_Primes(,100,200) returns all prime numbers within [100,200]._x000a_Primes(n,10,50) returns the first n primes within [10,50] sorted in ascending order._x000a_Primes(-n,10,50) returns the last n primes withi">_xlfn.LAMBDA(_xlop.n,_xlop.gte,_xlop.lte, _xlfn.LET(_xlpm.doc, "https://www.vertex42.com/lambda/isprime.html", _xlpm.version, "1.0.0 1/13/2025 - Original version", _xlpm.lte, IF(_xlfn.ISOMITTED(_xlpm.lte), 10000, _xlpm.lte), _xlpm.gte, IF(_xlfn.ISOMITTED(_xlpm.gte), 0, _xlpm.gte), _xlpm.array, {2;3;5;7;11;13;17;19;23;29;31;37;41;43;47;53;59;61;67;71;73;79;83;89;97;101;103;107;109;113;127;131;137;139;149;151;157;163;167;173;179;181;191;193;197;199;211;223;227;229;233;239;241;251;257;263;269;271;277;281;283;293;307;311;313;317;331;337;347;349;353;359;367;373;379;383;389;397;401;409;419;421;431;433;439;443;449;457;461;463;467;479;487;491;499;503;509;521;523;541;547;557;563;569;571;577;587;593;599;601;607;613;617;619;631;641;643;647;653;659;661;673;677;683;691;701;709;719;727;733;739;743;751;757;761;769;773;787;797;809;811;821;823;827;829;839;853;857;859;863;877;881;883;887;907;911;919;929;937;941;947;953;967;971;977;983;991;997;1009;1013;1019;1021;1031;1033;1039;1049;1051;1061;1063;1069;1087;1091;1093;1097;1103;1109;1117;1123;1129;1151;1153;1163;1171;1181;1187;1193;1201;1213;1217;1223;1229;1231;1237;1249;1259;1277;1279;1283;1289;1291;1297;1301;1303;1307;1319;1321;1327;1361;1367;1373;1381;1399;1409;1423;1427;1429;1433;1439;1447;1451;1453;1459;1471;1481;1483;1487;1489;1493;1499;1511;1523;1531;1543;1549;1553;1559;1567;1571;1579;1583;1597;1601;1607;1609;1613;1619;1621;1627;1637;1657;1663;1667;1669;1693;1697;1699;1709;1721;1723;1733;1741;1747;1753;1759;1777;1783;1787;1789;1801;1811;1823;1831;1847;1861;1867;1871;1873;1877;1879;1889;1901;1907;1913;1931;1933;1949;1951;1973;1979;1987;1993;1997;1999;2003;2011;2017;2027;2029;2039;2053;2063;2069;2081;2083;2087;2089;2099;2111;2113;2129;2131;2137;2141;2143;2153;2161;2179;2203;2207;2213;2221;2237;2239;2243;2251;2267;2269;2273;2281;2287;2293;2297;2309;2311;2333;2339;2341;2347;2351;2357;2371;2377;2381;2383;2389;2393;2399;2411;2417;2423;2437;2441;2447;2459;2467;2473;2477;2503;2521;2531;2539;2543;2549;2551;2557;2579;2591;2593;2609;2617;2621;2633;2647;2657;2659;2663;2671;2677;2683;2687;2689;2693;2699;2707;2711;2713;2719;2729;2731;2741;2749;2753;2767;2777;2789;2791;2797;2801;2803;2819;2833;2837;2843;2851;2857;2861;2879;2887;2897;2903;2909;2917;2927;2939;2953;2957;2963;2969;2971;2999;3001;3011;3019;3023;3037;3041;3049;3061;3067;3079;3083;3089;3109;3119;3121;3137;3163;3167;3169;3181;3187;3191;3203;3209;3217;3221;3229;3251;3253;3257;3259;3271;3299;3301;3307;3313;3319;3323;3329;3331;3343;3347;3359;3361;3371;3373;3389;3391;3407;3413;3433;3449;3457;3461;3463;3467;3469;3491;3499;3511;3517;3527;3529;3533;3539;3541;3547;3557;3559;3571;3581;3583;3593;3607;3613;3617;3623;3631;3637;3643;3659;3671;3673;3677;3691;3697;3701;3709;3719;3727;3733;3739;3761;3767;3769;3779;3793;3797;3803;3821;3823;3833;3847;3851;3853;3863;3877;3881;3889;3907;3911;3917;3919;3923;3929;3931;3943;3947;3967;3989;4001;4003;4007;4013;4019;4021;4027;4049;4051;4057;4073;4079;4091;4093;4099;4111;4127;4129;4133;4139;4153;4157;4159;4177;4201;4211;4217;4219;4229;4231;4241;4243;4253;4259;4261;4271;4273;4283;4289;4297;4327;4337;4339;4349;4357;4363;4373;4391;4397;4409;4421;4423;4441;4447;4451;4457;4463;4481;4483;4493;4507;4513;4517;4519;4523;4547;4549;4561;4567;4583;4591;4597;4603;4621;4637;4639;4643;4649;4651;4657;4663;4673;4679;4691;4703;4721;4723;4729;4733;4751;4759;4783;4787;4789;4793;4799;4801;4813;4817;4831;4861;4871;4877;4889;4903;4909;4919;4931;4933;4937;4943;4951;4957;4967;4969;4973;4987;4993;4999;5003;5009;5011;5021;5023;5039;5051;5059;5077;5081;5087;5099;5101;5107;5113;5119;5147;5153;5167;5171;5179;5189;5197;5209;5227;5231;5233;5237;5261;5273;5279;5281;5297;5303;5309;5323;5333;5347;5351;5381;5387;5393;5399;5407;5413;5417;5419;5431;5437;5441;5443;5449;5471;5477;5479;5483;5501;5503;5507;5519;5521;5527;5531;5557;5563;5569;5573;5581;5591;5623;5639;5641;5647;5651;5653;5657;5659;5669;5683;5689;5693;5701;5711;5717;5737;5741;5743;5749;5779;5783;5791;5801;5807;5813;5821;5827;5839;5843;5849;5851;5857;5861;5867;5869;5879;5881;5897;5903;5923;5927;5939;5953;5981;5987;6007;6011;6029;6037;6043;6047;6053;6067;6073;6079;6089;6091;6101;6113;6121;6131;6133;6143;6151;6163;6173;6197;6199;6203;6211;6217;6221;6229;6247;6257;6263;6269;6271;6277;6287;6299;6301;6311;6317;6323;6329;6337;6343;6353;6359;6361;6367;6373;6379;6389;6397;6421;6427;6449;6451;6469;6473;6481;6491;6521;6529;6547;6551;6553;6563;6569;6571;6577;6581;6599;6607;6619;6637;6653;6659;6661;6673;6679;6689;6691;6701;6703;6709;6719;6733;6737;6761;6763;6779;6781;6791;6793;6803;6823;6827;6829;6833;6841;6857;6863;6869;6871;6883;6899;6907;6911;6917;6947;6949;6959;6961;6967;6971;6977;6983;6991;6997;7001;7013;7019;7027;7039;7043;7057;7069;7079;7103;7109;7121;7127;7129;7151;7159;7177;7187;7193;7207;7211;7213;7219;7229;7237;7243;7247;7253;7283;7297;7307;7309;7321;7331;7333;7349;7351;7369;7393;7411;7417;7433;7451;7457;7459;7477;7481;7487;7489;7499;7507;7517;7523;7529;7537;7541;7547;7549;7559;7561;7573;7577;7583;7589;7591;7603;7607;7621;7639;7643;7649;7669;7673;7681;7687;7691;7699;7703;7717;7723;7727;7741;7753;7757;7759;7789;7793;7817;7823;7829;7841;7853;7867;7873;7877;7879;7883;7901;7907;7919;7927;7933;7937;7949;7951;7963;7993;8009;8011;8017;8039;8053;8059;8069;8081;8087;8089;8093;8101;8111;8117;8123;8147;8161;8167;8171;8179;8191;8209;8219;8221;8231;8233;8237;8243;8263;8269;8273;8287;8291;8293;8297;8311;8317;8329;8353;8363;8369;8377;8387;8389;8419;8423;8429;8431;8443;8447;8461;8467;8501;8513;8521;8527;8537;8539;8543;8563;8573;8581;8597;8599;8609;8623;8627;8629;8641;8647;8663;8669;8677;8681;8689;8693;8699;8707;8713;8719;8731;8737;8741;8747;8753;8761;8779;8783;8803;8807;8819;8821;8831;8837;8839;8849;8861;8863;8867;8887;8893;8923;8929;8933;8941;8951;8963;8969;8971;8999;9001;9007;9011;9013;9029;9041;9043;9049;9059;9067;9091;9103;9109;9127;9133;9137;9151;9157;9161;9173;9181;9187;9199;9203;9209;9221;9227;9239;9241;9257;9277;9281;9283;9293;9311;9319;9323;9337;9341;9343;9349;9371;9377;9391;9397;9403;9413;9419;9421;9431;9433;9437;9439;9461;9463;9467;9473;9479;9491;9497;9511;9521;9533;9539;9547;9551;9587;9601;9613;9619;9623;9629;9631;9643;9649;9661;9677;9679;9689;9697;9719;9721;9733;9739;9743;9749;9767;9769;9781;9787;9791;9803;9811;9817;9829;9833;9839;9851;9857;9859;9871;9883;9887;9901;9907;9923;9929;9931;9941;9949;9967;9973}, _xlpm.n, IF(_xlfn.ISOMITTED(_xlpm.n), ROWS(_xlpm.array), _xlpm.n), _xlpm.filtered, _xlfn._xlws.FILTER(_xlpm.array, 1 * (_xlpm.array &lt;= _xlpm.lte) * (_xlpm.array &gt;= _xlpm.gte)), IF(_xlpm.n &lt; ROWS(_xlpm.filtered), _xlfn._xlws.SORT(_xlfn.TAKE(_xlpm.filtered, _xlpm.n, 1), 1, SIGN(_xlpm.n) * 1), _xlpm.filtered)))</definedName>
    <definedName name="L.QR" comment="Returns the QR decomposition of matrix A using the Householder transformation process_x000a_QR(matrix) returns {Q;R} (stacked vertically) where matrix=MMULT(Q,R).">_xlfn.LAMBDA(_xlpm.matrix, _xlfn.LET(_xlpm.doc, "https://www.vertex42.com/lambda/qr.html", _xlpm.m, ROWS(_xlpm.matrix), _xlpm.n, COLUMNS(_xlpm.matrix), _xlpm.ks, _xlfn.SEQUENCE(_xlpm.n - 1, 1), _xlpm.Q3Q2Q1, _xlfn.REDUCE(_xlfn.SEQUENCE(_xlpm.n, _xlpm.n, 0, 0), _xlpm.ks, _xlfn.LAMBDA(_xlpm.acc,_xlpm.k, _xlfn.LET(_xlpm.Ahat, IF(_xlpm.k = 1, _xlpm.matrix, MMULT(_xlpm.acc, _xlpm.matrix)), _xlpm.ek, _xlfn.VSTACK(1, _xlfn.SEQUENCE(_xlpm.n - _xlpm.k, 1, 0, 0)), _xlpm.xk, _xlfn.DROP(INDEX(_xlpm.Ahat, 0, _xlpm.k), _xlpm.k - 1), _xlpm.alpha, -SIGN(INDEX(_xlpm.xk, 1)) * SQRT(SUM(_xlpm.xk ^ 2)), _xlpm.uk, _xlpm.xk - _xlpm.alpha * _xlpm.ek, _xlpm.vk, _xlpm.uk / SQRT(SUM(_xlpm.uk ^ 2)), _xlpm.Qkhat, _xlfn.MUNIT(ROWS(_xlpm.ek)) - 2 * MMULT(_xlpm.vk, TRANSPOSE(_xlpm.vk)), _xlpm.Qk, IF(_xlpm.k = 1, _xlpm.Qkhat, _xlfn.VSTACK(_xlfn.HSTACK(_xlfn.MUNIT(_xlpm.k - 1), _xlfn.SEQUENCE(_xlpm.k - 1, _xlpm.n - _xlpm.k + 1, 0, 0)), _xlfn.HSTACK(_xlfn.SEQUENCE(_xlpm.n - _xlpm.k + 1, _xlpm.k - 1, 0, 0), _xlpm.Qkhat))), IF(_xlpm.k = 1, _xlpm.Qk, MMULT(_xlpm.Qk, _xlpm.acc))))), _xlfn.VSTACK(TRANSPOSE(_xlpm.Q3Q2Q1), MMULT(_xlpm.Q3Q2Q1, _xlpm.matrix))))</definedName>
    <definedName name="L.QUADRATIC" comment="Quadratic Formula returns the real or complex Roots of ax^2+bx+c=0">_xlfn.LAMBDA(_xlpm.a,_xlop.b,_xlop.c, _xlfn.LET(_xlpm.doc, "https://www.vertex42.com/lambda/quadratic.html", _xlpm.b, IF(_xlfn.ISOMITTED(_xlpm.b), INDEX(_xlpm.a, 2), _xlpm.b), _xlpm.c, IF(_xlfn.ISOMITTED(_xlpm.c), INDEX(_xlpm.a, 3), _xlpm.c), _xlpm.a, IF(COLUMNS(_xlpm.a) &gt; 1, INDEX(_xlpm.a, 1), _xlpm.a), _xlpm.vertex, -_xlpm.b / (2 * _xlpm.a), _xlpm.radicand, (_xlpm.vertex) ^ 2 - _xlpm.c / _xlpm.a, _xlpm.pm, SQRT(ABS(_xlpm.radicand)), _xlpm.rmax, _xlpm.vertex + _xlpm.pm, _xlpm.rmin, _xlpm.vertex - _xlpm.pm, IF(_xlpm.radicand &gt;= 0, IF(_xlpm.radicand = 0, _xlfn.VSTACK(_xlpm.rmax, _xlpm.rmax), IF(_xlpm.vertex &gt;= 0, _xlfn.VSTACK(_xlpm.rmax, (_xlpm.c / _xlpm.a) / (_xlpm.rmax)), _xlfn.VSTACK((_xlpm.c / _xlpm.a) / _xlpm.rmin, _xlpm.rmin))), _xlfn.VSTACK(COMPLEX(_xlpm.vertex, _xlpm.pm), COMPLEX(_xlpm.vertex, -_xlpm.pm)))))</definedName>
    <definedName name="L.REMOVECHARS" comment="Removes all of the characters in chars (individually) from text">_xlfn.LAMBDA(_xlpm.text,_xlpm.remove_chars, _xlfn.LET(_xlpm.doc, "https://www.vertex42.com/lambda/removechars.html", TRIM(_xlfn.REDUCE(_xlpm.text, MID(_xlpm.remove_chars, _xlfn.SEQUENCE(LEN(_xlpm.remove_chars)), 1), _xlfn.LAMBDA(_xlpm.i,_xlpm.a, SUBSTITUTE(_xlpm.i, _xlpm.a, ""))))))</definedName>
    <definedName name="L.REPARRAY" comment="Repeat an array m times vertically and n times horizontally">_xlfn.LAMBDA(_xlpm.array,_xlop.m_vert,_xlop.n_horiz, _xlfn.LET(_xlpm.doc, "https://www.vertex42.com/lambda/reparray.html", _xlpm.version, "1/13/2025 - Updated commenting", _xlpm.m_vert, IF(ISBLANK(_xlpm.m_vert), 1, _xlpm.m_vert), _xlpm.n_horiz, IF(ISBLANK(_xlpm.n_horiz), 1, _xlpm.n_horiz), _xlfn.MAKEARRAY(_xlpm.m_vert * ROWS(_xlpm.array), _xlpm.n_horiz * COLUMNS(_xlpm.array), _xlfn.LAMBDA(_xlpm.i,_xlpm.j, INDEX(_xlpm.array, 1 + MOD(_xlpm.i - 1, ROWS(_xlpm.array)), 1 + MOD(_xlpm.j - 1, COLUMNS(_xlpm.array)))))))</definedName>
    <definedName name="L.REPELEM" comment="Repeat the elements of an array m times vertically and n times horizontally">_xlfn.LAMBDA(_xlpm.array,_xlop.m_vert,_xlop.n_horiz, _xlfn.LET(_xlpm.doc, "https://www.vertex42.com/lambda/repelem.html", _xlpm.version, "1/13/2025 - Updated commenting", _xlpm.m_vert, IF(_xlfn.ISOMITTED(_xlpm.m_vert), 1, IF(COLUMNS(_xlpm.m_vert) &gt; 1, TRANSPOSE(_xlpm.m_vert), _xlpm.m_vert)), _xlpm.n_horiz, IF(_xlfn.ISOMITTED(_xlpm.n_horiz), 1, IF(ROWS(_xlpm.n_horiz) &gt; 1, TRANSPOSE(_xlpm.n_horiz), _xlpm.n_horiz)), _xlpm.rows, ROWS(_xlpm.array), _xlpm.cols, COLUMNS(_xlpm.array), _xlpm.m_array, IF(ROWS(_xlpm.m_vert) &gt; 1, _xlpm.m_vert, _xlfn.SEQUENCE(_xlpm.rows, 1, INDEX(_xlpm.m_vert, 1, 1), 0)), _xlpm.n_array, IF(COLUMNS(_xlpm.n_horiz) &gt; 1, _xlpm.n_horiz, _xlfn.SEQUENCE(1, _xlpm.cols, INDEX(_xlpm.n_horiz, 1, 1), 0)), _xlpm.total_rows, SUM(_xlpm.m_array), _xlpm.total_cols, SUM(_xlpm.n_array), _xlpm.csum_vert, _xlfn.SCAN(0, _xlpm.m_array, _xlfn.LAMBDA(_xlpm.a,_xlpm.b, _xlpm.a + _xlpm.b)), _xlpm.csum_horiz, _xlfn.SCAN(0, _xlpm.n_array, _xlfn.LAMBDA(_xlpm.a,_xlpm.b, _xlpm.a + _xlpm.b)), _xlpm.row_indices, _xlfn.XMATCH(_xlfn.SEQUENCE(_xlpm.total_rows), _xlpm.csum_vert, 1), _xlpm.col_indices, _xlfn.XMATCH(_xlfn.SEQUENCE(_xlpm.total_cols), _xlpm.csum_horiz, 1), _xlfn.MAKEARRAY(_xlpm.total_rows, _xlpm.total_cols, _xlfn.LAMBDA(_xlpm.i,_xlpm.j, INDEX(_xlpm.array, INDEX(_xlpm.row_indices, _xlpm.i, 1), INDEX(_xlpm.col_indices, _xlpm.j, 1))))))</definedName>
    <definedName name="L.REPLACEBLOCK" comment="Replace a block within an array by specifying the starting (i,j) location">_xlfn.LAMBDA(_xlpm.array,_xlpm.i,_xlpm.j,_xlpm.new_block, _xlfn.LET(_xlpm.doc, "https://www.vertex42.com/lambda/replaceblock.html", _xlpm.mrows, ROWS(_xlpm.new_block), _xlpm.ncols, COLUMNS(_xlpm.new_block), _xlfn.MAKEARRAY(ROWS(_xlpm.array), COLUMNS(_xlpm.array), _xlfn.LAMBDA(_xlpm.r,_xlpm.c, IF(AND((_xlpm.r - _xlpm.i + 1) &gt; 0, (_xlpm.r - _xlpm.i) &lt; _xlpm.mrows, (_xlpm.c - _xlpm.j + 1) &gt; 0, (_xlpm.c - _xlpm.j) &lt; _xlpm.ncols), INDEX(_xlpm.new_block, _xlpm.r - _xlpm.i + 1, _xlpm.c - _xlpm.j + 1), INDEX(_xlpm.array, _xlpm.r, _xlpm.c))))))</definedName>
    <definedName name="L.RESCALE" comment="Returns an array with values rescaled to [lower,upper]_x000a_RESCALE({1,2,3},0,1) = {0, 0.5, 1}">_xlfn.LAMBDA(_xlpm.array,_xlpm.lower,_xlpm.upper, _xlfn.LET(_xlpm.doc, "https://www.vertex42.com/lambda/rescale.html", _xlpm.min, MIN(_xlpm.array), _xlpm.max, MAX(_xlpm.array), _xlpm.lower + (_xlpm.upper - _xlpm.lower) * (_xlpm.array - _xlpm.min) / (_xlpm.max - _xlpm.min)))</definedName>
    <definedName name="L.ROMAN2INT" comment="Converts a Roman numeral to its integer value: IV = 4, XII = 12, etc.">_xlfn.LAMBDA(_xlpm.text, _xlfn.LET(_xlpm.doc, "https://www.vertex42.com/lambda/roman2int.html", _xlfn.MAP(_xlpm.text, _xlfn.LAMBDA(_xlpm.cell, _xlfn.LET(_xlpm.strarray, TRANSPOSE(MID(UPPER(_xlpm.cell), _xlfn.SEQUENCE(LEN(_xlpm.cell), 1), 1)), _xlpm.roman_char, {"I","V","X","L","C","D","M"}, _xlpm.values, {1,5,10,50,100,500,1000}, _xlpm.strvalues, _xlfn.XLOOKUP(_xlpm.strarray, _xlpm.roman_char, _xlpm.values, "#Error: Invalid Roman Numeral"), IF(LEN(_xlpm.cell) = 1, _xlpm.strvalues, SUM(_xlpm.strvalues * _xlfn.HSTACK(2 * (_xlfn.DROP(_xlpm.strvalues, , 1) &lt;= _xlfn.DROP(_xlpm.strvalues, , -1)) - 1, 1))))))))</definedName>
    <definedName name="L.ROT_45" comment="Rotate an array 45 degrees counterclockwise, making diagonals become rows">_xlfn.LAMBDA(_xlpm.array,_xlop.n,_xlop.fill_with, _xlfn.LET(_xlpm.doc, "https://www.vertex42.com/lambda/rot_45.html", _xlpm.version, "1.0.0 1/13/2025 - Original version", _xlpm.n, IF(ISBLANK(_xlpm.n), 1, MOD(_xlpm.n, 8)), _xlpm.rows, ROWS(_xlpm.array), _xlpm.cols, COLUMNS(_xlpm.array), _xlpm.new_height, _xlpm.rows + _xlpm.cols - 1, _xlpm.rotated, _xlfn.SWITCH(_xlpm.n, 1, _xlfn.MAKEARRAY(_xlpm.new_height, _xlpm.cols, _xlfn.LAMBDA(_xlpm.r,_xlpm.c, IFERROR(INDEX(_xlpm.array, IF(_xlpm.r - _xlpm.cols + _xlpm.c = 0, -1, _xlpm.r - _xlpm.cols + _xlpm.c), _xlpm.c), NA()))), 2, L.ROT_90(_xlpm.array, 1), 3, L.FLIPLR(_xlfn.MAKEARRAY(_xlpm.new_height, _xlpm.cols, _xlfn.LAMBDA(_xlpm.r,_xlpm.c, IFERROR(INDEX(_xlpm.array, IF(_xlpm.r - _xlpm.c + 1 = 0, -1, _xlpm.r - _xlpm.c + 1), _xlpm.c), NA())))), 4, L.ROT_90(_xlpm.array, 2), 5, L.FLIPLR(_xlfn.MAKEARRAY(_xlpm.new_height, _xlpm.cols, _xlfn.LAMBDA(_xlpm.r,_xlpm.c, IFERROR(INDEX(_xlpm.array, IF(_xlpm.r - _xlpm.cols + _xlpm.c = 0, -1, _xlpm.r - _xlpm.cols + _xlpm.c), _xlpm.c), NA())))), 6, L.ROT_90(_xlpm.array, 3), 7, _xlfn.MAKEARRAY(_xlpm.new_height, _xlpm.cols, _xlfn.LAMBDA(_xlpm.r,_xlpm.c, IFERROR(INDEX(_xlpm.array, IF(_xlpm.r - _xlpm.c + 1 = 0, -1, _xlpm.r - _xlpm.c + 1), _xlpm.c), NA()))), _xlpm.array), _xlpm.result, IF(_xlfn.ISOMITTED(_xlpm.fill_with), _xlpm.rotated, _xlfn.IFNA(_xlpm.rotated, _xlpm.fill_with)), _xlpm.result))</definedName>
    <definedName name="L.ROT_90" comment="Rotate an array 90 degrees counterclockwise n times">_xlfn.LAMBDA(_xlpm.array,_xlop.n, _xlfn.LET(_xlpm.doc, "https://www.vertex42.com/lambda/rot90.html", _xlpm.r9Flip, _xlfn.LAMBDA(_xlpm.arr,_xlpm.dim, IF(_xlpm.dim = 2, _xlfn.CHOOSECOLS(_xlpm.arr, _xlfn.SEQUENCE(1, COLUMNS(_xlpm.arr), COLUMNS(_xlpm.arr), -1)), _xlfn.CHOOSEROWS(_xlpm.arr, _xlfn.SEQUENCE(ROWS(_xlpm.arr), 1, ROWS(_xlpm.arr), -1)))), IF(_xlfn.ISOMITTED(_xlpm.n), _xlpm.r9Flip(TRANSPOSE(_xlpm.array), 1), CHOOSE(1 + MOD(INT(_xlpm.n) - 1, 4), _xlpm.r9Flip(TRANSPOSE(_xlpm.array), 1), _xlpm.r9Flip(_xlpm.r9Flip(_xlpm.array, 2), 1), _xlpm.r9Flip(TRANSPOSE(_xlpm.array), 2), _xlpm.array))))</definedName>
    <definedName name="L.ROWSUM" comment="Returns a column vector containing row sums">_xlfn.LAMBDA(_xlpm.matrix, _xlfn.LET(_xlpm.doc, "https://www.vertex42.com/lambda/rowsum-and-colsum.html", _xlfn.BYROW(_xlpm.matrix, _xlfn.LAMBDA(_xlpm.row, SUM(_xlpm.row)))))</definedName>
    <definedName name="L.SCURVE" comment="Create an S-Curve from Project Task Dates and Values">_xlfn.LAMBDA(_xlpm.startdates,_xlpm.enddates,_xlpm.values,_xlop.is_daily,_xlop.weekend,_xlop.holidays,_xlop.percent, _xlfn.LET(_xlpm.doc, "https://www.vertex42.com/lambda/scurve.html", _xlpm.weekend, IF(_xlfn.ISOMITTED(_xlpm.weekend), "0000000", _xlpm.weekend), _xlpm.holidays, IF(_xlfn.ISOMITTED(_xlpm.holidays), {0}, _xlpm.holidays), _xlpm.is_daily, IF(_xlfn.ISOMITTED(_xlpm.is_daily), FALSE, _xlpm.is_daily), _xlpm.percent, IF(_xlfn.ISOMITTED(_xlpm.percent), FALSE, _xlpm.percent), _xlpm.table, _xlfn.HSTACK(_xlpm.startdates, _xlpm.enddates, _xlpm.values), _xlpm.ftable, _xlfn._xlws.FILTER(_xlpm.table, NOT(ISTEXT(_xlpm.startdates)) * (_xlpm.startdates &gt; 0) * NOT(ISTEXT(_xlpm.enddates)) * (_xlpm.enddates &gt; 0) * (_xlpm.enddates &gt;= _xlpm.startdates)), _xlpm.start, _xlfn.CHOOSECOLS(_xlpm.ftable, 1), _xlpm.end, _xlfn.CHOOSECOLS(_xlpm.ftable, 2), _xlpm.days, _xlfn.BYROW(_xlfn.HSTACK(_xlpm.start, _xlpm.end), _xlfn.LAMBDA(_xlpm.row, NETWORKDAYS.INTL(_xlfn.CHOOSECOLS(_xlpm.row, 1), _xlfn.CHOOSECOLS(_xlpm.row, 2), _xlpm.weekend, _xlpm.holidays))), _xlpm.val, _xlfn.CHOOSECOLS(_xlpm.ftable, 3), _xlpm.daily, IF(_xlpm.is_daily, _xlpm.val, _xlpm.val / _xlpm.days), _xlpm.dates, _xlfn.SEQUENCE(MAX(_xlpm.end) - MIN(_xlpm.start) + 1, 1, MIN(_xlpm.start), 1), _xlpm.date_total, _xlfn.BYROW(_xlpm.dates, _xlfn.LAMBDA(_xlpm.date, SUMPRODUCT((NETWORKDAYS.INTL(_xlpm.date, _xlpm.date, _xlpm.weekend, _xlpm.holidays) = 1) * (_xlpm.start &lt;= _xlpm.date) * (_xlpm.date &lt;= _xlpm.end) * (_xlpm.daily)))), _xlpm.cumulative, _xlfn.SCAN(0, _xlpm.date_total, _xlfn.LAMBDA(_xlpm.acc,_xlpm.f, _xlpm.acc + _xlpm.f)), _xlfn.HSTACK(_xlpm.dates, _xlpm.date_total, IF(_xlpm.percent = TRUE, _xlpm.cumulative / MAX(_xlpm.cumulative), _xlpm.cumulative))))</definedName>
    <definedName name="L.SE" comment="Create a sequence of integers or characters between start and end">_xlfn.LAMBDA(_xlpm.start,_xlpm.end, _xlfn.LET(_xlpm.doc, "https://www.vertex42.com/lambda/se.html", IF(ISNUMBER(_xlpm.start), _xlfn.SEQUENCE(ABS(_xlpm.end - _xlpm.start) + 1, 1, _xlpm.start, SIGN(_xlpm.end - _xlpm.start)), _xlfn.UNICHAR(_xlfn.SEQUENCE(ABS(_xlfn.UNICODE(_xlpm.end) - _xlfn.UNICODE(_xlpm.start)) + 1, 1, _xlfn.UNICODE(_xlpm.start), SIGN(_xlfn.UNICODE(_xlpm.end) - _xlfn.UNICODE(_xlpm.start)))))))</definedName>
    <definedName name="L.SFROUND" comment="Round a value to a number of significant figures_x000a_round_opt: 0=ROUND, -1=ROUNDDOWN, 1=ROUNDUP_x000a_SFROUND(1234500,4,-1) = 1234000">_xlfn.LAMBDA(_xlpm.value,_xlpm.sig_figs,_xlop.round_opt, _xlfn.LET(_xlpm.doc, "https://www.vertex42.com/lambda/sfround.html", _xlpm.round_opt, IF(_xlfn.ISOMITTED(_xlpm.round_opt), 0, _xlpm.round_opt), _xlpm.exponent, INT(LOG10(ABS(_xlpm.value))), _xlpm.roundto, _xlpm.sig_figs - (1 + _xlpm.exponent), IF(_xlpm.value = 0, 0, IF(_xlpm.sig_figs &lt; 1, "Error: sig_figs&lt;1", _xlfn.SWITCH(_xlpm.round_opt, 0, ROUND(_xlpm.value, _xlpm.roundto), 1, ROUNDUP(_xlpm.value, _xlpm.roundto), -1, ROUNDDOWN(_xlpm.value, _xlpm.roundto), )))))</definedName>
    <definedName name="L.SIMPSON" comment="Numerical Integration using Composite Simpson's 1/3 Rule">_xlfn.LAMBDA(_xlpm.y,_xlop.x,_xlop.dx, _xlfn.LET(_xlpm.doc, "https://www.vertex42.com/lambda/simpson.html", _xlpm.dx, IF(_xlfn.ISOMITTED(_xlpm.dx), 1, _xlpm.dx), _xlpm.n, ROWS(_xlpm.y), _xlpm.integral, _xlfn.REDUCE(0, _xlfn.SEQUENCE(INT((_xlpm.n - 1) / 2), 1, 1, 2), _xlfn.LAMBDA(_xlpm.acc,_xlpm.i, IF(_xlfn.ISOMITTED(_xlpm.x), _xlpm.acc + (1 / 3 * _xlpm.dx * (INDEX(_xlpm.y, _xlpm.i) + 4 * INDEX(_xlpm.y, _xlpm.i + 1) + INDEX(_xlpm.y, _xlpm.i + 2))), _xlfn.LET(_xlpm.h_1, INDEX(_xlpm.x, _xlpm.i + 1) - INDEX(_xlpm.x, _xlpm.i), _xlpm.h_2, INDEX(_xlpm.x, _xlpm.i + 2) - INDEX(_xlpm.x, _xlpm.i + 1), _xlpm.area, (_xlpm.h_1 + _xlpm.h_2) / 6 * ((2 - _xlpm.h_2 / _xlpm.h_1) * INDEX(_xlpm.y, _xlpm.i) + (_xlpm.h_1 + _xlpm.h_2) ^ 2 / (_xlpm.h_1 * _xlpm.h_2) * INDEX(_xlpm.y, _xlpm.i + 1) + (2 - _xlpm.h_1 / _xlpm.h_2) * INDEX(_xlpm.y, _xlpm.i + 2)), _xlpm.acc + _xlpm.area)))), _xlpm.lastinterval, IF(ISODD(_xlpm.n), 0, IF(_xlfn.ISOMITTED(_xlpm.x), _xlpm.dx * (5 / 12 * INDEX(_xlpm.y, _xlpm.n) + 2 / 3 * INDEX(_xlpm.y, _xlpm.n - 1) - 1 / 12 * (INDEX(_xlpm.y, _xlpm.n - 2))), _xlfn.LET(_xlpm.h_1, INDEX(_xlpm.x, _xlpm.n) - INDEX(_xlpm.x, _xlpm.n - 1), _xlpm.h_2, INDEX(_xlpm.x, _xlpm.n - 1) - INDEX(_xlpm.x, _xlpm.n - 2), _xlpm.alpha, (2 * _xlpm.h_1 ^ 2 + 3 * _xlpm.h_1 * _xlpm.h_2) / (6 * (_xlpm.h_2 + _xlpm.h_1)), _xlpm.beta, (_xlpm.h_1 ^ 2 + 3 * _xlpm.h_1 * _xlpm.h_2) / (6 * _xlpm.h_2), _xlpm.nu, (_xlpm.h_1 ^ 3) / (6 * _xlpm.h_2 * (_xlpm.h_2 + _xlpm.h_1)), _xlpm.alpha * INDEX(_xlpm.y, _xlpm.n) + _xlpm.beta * INDEX(_xlpm.y, _xlpm.n - 1) - _xlpm.nu * INDEX(_xlpm.y, _xlpm.n - 2)))), _xlpm.integral + _xlpm.lastinterval))</definedName>
    <definedName name="L.SIZE" comment="Returns the vector {num_rows;num_columns}">_xlfn.LAMBDA(_xlpm.array, _xlfn.VSTACK(ROWS(_xlpm.array), COLUMNS(_xlpm.array)))</definedName>
    <definedName name="L.SLICE" comment="Return a subset of rows and columns from an array">_xlfn.LAMBDA(_xlpm.array,_xlpm.row_start,_xlpm.row_end,_xlop.col_start,_xlop.col_end, _xlfn.LET(_xlpm.doc, "https://www.vertex42.com/lambda/slice.html", _xlpm.rows, ROWS(_xlpm.array), _xlpm.cols, COLUMNS(_xlpm.array), _xlpm.row_start, IF(ISBLANK(_xlpm.row_start), 1, IF(_xlpm.row_start &lt; 0, IF(ABS(_xlpm.row_start) &gt;= _xlpm.rows, 1, _xlpm.rows + _xlpm.row_start + 1), _xlpm.row_start)), _xlpm.row_end, IF(OR(ISBLANK(_xlpm.row_end), _xlpm.row_end &gt; _xlpm.rows), _xlpm.rows, IF(_xlpm.row_end &lt; 0, IF(ABS(_xlpm.row_end) &gt;= _xlpm.rows, 1, _xlpm.rows + _xlpm.row_end + 1), _xlpm.row_end)), _xlpm.col_start, IF(ISBLANK(_xlpm.col_start), 1, IF(_xlpm.col_start &lt; 0, IF(ABS(_xlpm.col_start) &gt;= _xlpm.cols, 1, _xlpm.cols + _xlpm.col_start + 1), _xlpm.col_start)), _xlpm.col_end, IF(OR(ISBLANK(_xlpm.col_end), _xlpm.col_end &gt; _xlpm.cols), _xlpm.cols, IF(_xlpm.col_end &lt; 0, IF(ABS(_xlpm.col_end) &gt;= _xlpm.cols, 1, _xlpm.cols + _xlpm.col_end + 1), _xlpm.col_end)), _xlpm.new_array, _xlfn.CHOOSEROWS(_xlpm.array, _xlfn.SEQUENCE(_xlpm.row_end - _xlpm.row_start + 1, , _xlpm.row_start, 1)), _xlfn.CHOOSECOLS(_xlpm.new_array, _xlfn.SEQUENCE(_xlpm.col_end - _xlpm.col_start + 1, , _xlpm.col_start, 1))))</definedName>
    <definedName name="L.SOLVE_NR" comment="Newton-Raphson Method equation solver for finding f(x)=y">_xlfn.LAMBDA(_xlpm.function,_xlpm.xstart,_xlop.y,_xlop.xstep,_xlop.epsilon,_xlop.iterations,_xlop.info, _xlfn.LET(_xlpm.doc, "https://www.vertex42.com/lambda/newton-raphson.html", _xlpm.n, ROWS(_xlpm.xstart), _xlpm.y, IF(_xlfn.ISOMITTED(_xlpm.y), 0, _xlpm.y), _xlpm.xstep, IF(_xlfn.ISOMITTED(_xlpm.xstep), 0.1, _xlpm.xstep), _xlpm.epsilon, IF(_xlfn.ISOMITTED(_xlpm.epsilon), 0.00000000000001, _xlpm.epsilon), _xlpm.iterations, IF(_xlfn.ISOMITTED(_xlpm.iterations), 20, _xlpm.iterations), _xlpm.ret, _xlfn.REDUCE({"x","Fx","Iterations"}, _xlfn.SEQUENCE(_xlpm.n), _xlfn.LAMBDA(_xlpm.acc_row,_xlpm.i, _xlfn.VSTACK(_xlpm.acc_row, _xlfn.REDUCE(_xlfn.HSTACK(INDEX(_xlpm.xstart, _xlpm.i), _xlpm.function(INDEX(_xlpm.xstart, _xlpm.i)) - _xlpm.y, 0), _xlfn.SEQUENCE(_xlpm.iterations), _xlfn.LAMBDA(_xlpm.acc,_xlpm.k, _xlfn.LET(_xlpm.cur_row, _xlfn.TAKE(_xlpm.acc, -1), IF(ABS(INDEX(_xlpm.cur_row, 1, 2)) &lt; ABS(_xlpm.epsilon), _xlpm.acc, _xlfn.LET(_xlpm.xn, INDEX(_xlpm.cur_row, 1, 1), _xlpm.fn, INDEX(_xlpm.cur_row, 1, 2), _xlpm.fprimen, (_xlpm.function(_xlpm.xn + _xlpm.xstep) - _xlpm.y - _xlpm.fn) / _xlpm.xstep, _xlpm.xnew, _xlpm.xn - _xlpm.fn / _xlpm.fprimen, _xlpm.fnew, _xlpm.function(_xlpm.xnew) - _xlpm.y, _xlpm.new_row, _xlfn.HSTACK(_xlpm.xnew, _xlpm.fnew, _xlpm.k), _xlpm.output, IF(_xlpm.info = "verbose", _xlfn.VSTACK(_xlpm.acc, _xlpm.new_row), _xlpm.new_row), _xlpm.output)))))))), IF(OR(_xlpm.info = TRUE, _xlpm.info = "verbose"), _xlpm.ret, _xlfn.DROP(_xlpm.ret, 1, -2))))</definedName>
    <definedName name="L.SPLICE" comment="Splice an array without optional delete and insert">_xlfn.LAMBDA(_xlpm.array,_xlpm.start_index,_xlpm.delete_count,_xlop.insert_array,_xlop.by_col, _xlfn.LET(_xlpm.doc, "https://www.vertex42.com/lambda/splice.html", _xlpm.start, IF(_xlpm.start_index &lt; 1, 1, _xlpm.start_index), _xlpm.by_col, IF(_xlfn.ISOMITTED(_xlpm.by_col), FALSE, _xlpm.by_col), _xlpm.no_insert, _xlfn.ISOMITTED(_xlpm.insert_array), _xlpm.no_first, _xlpm.start &lt;= 1, _xlpm.first, IF(_xlpm.by_col, _xlfn.TAKE(_xlpm.array, , _xlpm.start - 1), _xlfn.TAKE(_xlpm.array, _xlpm.start - 1, )), _xlpm.no_last, _xlpm.delete_count &gt; IF(_xlpm.by_col, COLUMNS(_xlpm.array), ROWS(_xlpm.array)) - _xlpm.start, _xlpm.last, IF(_xlpm.by_col, _xlfn.DROP(_xlpm.array, , _xlpm.start + _xlpm.delete_count - 1), _xlfn.DROP(_xlpm.array, _xlpm.start + _xlpm.delete_count - 1, )), _xlpm.tf, CONCATENATE(IF(_xlpm.no_first, "T", "F"), IF(_xlpm.no_insert, "T", "F"), IF(_xlpm.no_last, "T", "F"), IF(_xlpm.by_col, "T", "F")), _xlfn.SWITCH(_xlpm.tf, "TTTT", NA(), "TTTF", NA(), "TTFT", _xlpm.last, "TTFF", _xlpm.last, "TFTT", _xlpm.insert_array, "TFTF", _xlpm.insert_array, "TFFT", _xlfn.HSTACK(_xlpm.insert_array, _xlpm.last), "TFFF", _xlfn.VSTACK(_xlpm.insert_array, _xlpm.last), "FTTT", _xlpm.first, "FTTF", _xlpm.first, "FTFT", _xlfn.HSTACK(_xlpm.first, _xlpm.last), "FTFF", _xlfn.VSTACK(_xlpm.first, _xlpm.last), "FFTT", _xlfn.HSTACK(_xlpm.first, _xlpm.insert_array), "FFTF", _xlfn.VSTACK(_xlpm.first, _xlpm.insert_array), "FFFT", _xlfn.HSTACK(_xlpm.first, _xlpm.insert_array, _xlpm.last), "FFFF", _xlfn.VSTACK(_xlpm.first, _xlpm.insert_array, _xlpm.last), )))</definedName>
    <definedName name="L.SPLINE" comment="C2 Interpolating Cubic Spline with specified end conditions: &quot;not&quot;, &quot;free&quot;, or slope._x000a_Solves a system of linear constraint equations. Must use at least 3 control points.">_xlfn.LAMBDA(_xlpm.known_xs,_xlpm.known_ys,_xlop.x,_xlop.cond_start,_xlop.cond_end,_xlop.debug, IF(MAX(ROWS(_xlpm.known_ys), COLUMNS(_xlpm.known_ys)) &lt; 3, NA(), _xlfn.LET(_xlpm.doc, "https://www.vertex42.com/lambda/spline.html", _xlpm.cond_start, IF(_xlfn.ISOMITTED(_xlpm.cond_start), "not", _xlpm.cond_start), _xlpm.cond_end, IF(_xlfn.ISOMITTED(_xlpm.cond_end), "not", _xlpm.cond_end), _xlpm.xs, IF(AND(ROWS(_xlpm.known_xs) = 1, COLUMNS(_xlpm.known_xs) &gt; 1), TRANSPOSE(_xlpm.known_xs), _xlpm.known_xs), _xlpm.ys, IF(AND(ROWS(_xlpm.known_ys) = 1, COLUMNS(_xlpm.known_ys) &gt; 1), TRANSPOSE(_xlpm.known_ys), _xlpm.known_ys), _xlpm.h, _xlfn.DROP(_xlpm.xs, 1, 0) - _xlfn.DROP(_xlpm.xs, -1, 0), _xlpm.si, _xlfn.DROP(_xlpm.h, -1, 0) / _xlfn.DROP(_xlpm.h, 1, 0), _xlpm.n, ROWS(_xlpm.xs), _xlpm.dmat, {1,1,1;3,2,1;3,1,0}, _xlpm.constraints, _xlfn.REDUCE(_xlfn.SEQUENCE(3, 3, 0, 0), _xlfn.SEQUENCE(_xlpm.n - 2), _xlfn.LAMBDA(_xlpm.acc,_xlpm.i, _xlfn.LET(_xlpm.smat, _xlfn.VSTACK({0,0,0}, _xlfn.HSTACK(0, 0, -INDEX(_xlpm.si, _xlpm.i, 1)), _xlfn.HSTACK(0, -(INDEX(_xlpm.si, _xlpm.i, 1) ^ 2), 0)), IF(_xlpm.i = 1, IF(_xlpm.n &gt; 3, _xlfn.HSTACK(_xlpm.dmat, _xlpm.smat, _xlfn.SEQUENCE(3, 3 * (_xlpm.n - 3), 0, 0)), _xlfn.HSTACK(_xlpm.dmat, _xlpm.smat)), IF(_xlpm.i = _xlpm.n - 2, _xlfn.VSTACK(_xlpm.acc, _xlfn.HSTACK(_xlfn.SEQUENCE(3, 3 * (_xlpm.n - 3), 0, 0), _xlpm.dmat, _xlpm.smat)), _xlfn.VSTACK(_xlpm.acc, _xlfn.HSTACK(_xlfn.SEQUENCE(3, 3 * (_xlpm.i - 1), 0, 0), _xlpm.dmat, _xlpm.smat, _xlfn.SEQUENCE(3, 3 * (_xlpm.n - 2 - _xlpm.i), 0, 0)))))))), _xlpm.amatrix, _xlfn.VSTACK(_xlpm.constraints, _xlfn.HSTACK(_xlfn.SEQUENCE(1, 3 * (_xlpm.n - 2), 0, 0), {1,1,1}), _xlfn.SWITCH(_xlpm.cond_start, "free", _xlfn.HSTACK(0, 1, 0, _xlfn.SEQUENCE(1, 3 * (_xlpm.n - 2), 0, 0)), "not", _xlfn.HSTACK(1, 0, 0, -(INDEX(_xlpm.si, 1, 1) ^ 3), _xlfn.SEQUENCE(1, 3 * (_xlpm.n - 2) - 1, 0, 0)), _xlfn.HSTACK(0, 0, 1, _xlfn.SEQUENCE(1, 3 * (_xlpm.n - 2), 0, 0))), _xlfn.SWITCH(_xlpm.cond_end, "free", _xlfn.HSTACK(_xlfn.SEQUENCE(1, 3 * (_xlpm.n - 2), 0, 0), 3, 1, 0), "not", IF(_xlpm.n &gt; 3, _xlfn.HSTACK(_xlfn.SEQUENCE(1, 3 * (_xlpm.n - 3), 0, 0), 1, 0, 0, -(INDEX(_xlpm.si, _xlpm.n - 2, 1) ^ 3), 0, 0), _xlfn.HSTACK(0, 0, 0, 3, 1, 0)), _xlfn.HSTACK(_xlfn.SEQUENCE(1, 3 * (_xlpm.n - 2), 0, 0), 3, 2, 1))), _xlpm.bmatrix, _xlfn.VSTACK(_xlfn.REDUCE({0;0;0}, _xlfn.SEQUENCE(_xlpm.n - 2), _xlfn.LAMBDA(_xlpm.acc,_xlpm.i, IF(_xlpm.i = 1, _xlfn.VSTACK(INDEX(_xlpm.ys, 2, 1) - INDEX(_xlpm.ys, 1, 1), 0, 0), _xlfn.VSTACK(_xlpm.acc, INDEX(_xlpm.ys, _xlpm.i + 1, 1) - INDEX(_xlpm.ys, _xlpm.i, 1), 0, 0)))), INDEX(_xlpm.ys, _xlpm.n, 1) - INDEX(_xlpm.ys, _xlpm.n - 1, 1), _xlfn.SWITCH(_xlpm.cond_start, "free", 0, "not", 0, _xlpm.cond_start * INDEX(_xlpm.h, 1, 1)), _xlfn.SWITCH(_xlpm.cond_end, "free", 0, "not", 0, _xlpm.cond_end * INDEX(_xlpm.h, _xlpm.n - 1, 1))), _xlpm.coeffs, _xlfn.HSTACK(_xlfn.WRAPROWS(MMULT(MINVERSE(_xlpm.amatrix), _xlpm.bmatrix), 3) / (_xlpm.h ^ {3,2,1}), _xlfn.DROP(_xlpm.ys, -1, 0)), _xlpm.pp, _xlfn.MAP(_xlfn.HSTACK(_xlpm.xs, _xlpm.coeffs), _xlfn.LAMBDA(_xlpm.cell, IFERROR(_xlpm.cell, ""))), _xlpm.res, IF(_xlpm.debug = TRUE, _xlfn.HSTACK(_xlpm.amatrix, _xlpm.bmatrix), IF(_xlfn.ISOMITTED(_xlpm.x), _xlpm.pp, L.PPVAL(_xlpm.pp, _xlpm.x))), IF(AND(_xlpm.n = 3, _xlpm.cond_start = "not", _xlpm.cond_end = "not"), "Error: redundant knot constraint", _xlpm.res))))</definedName>
    <definedName name="L.STRUCT_APPEND" comment="Appends the new name and array to the existing structure.">_xlfn.LAMBDA(_xlpm.structure,_xlpm.name,_xlpm.array, _xlfn.LET(_xlpm.doc, "https://www.vertex42.com/lambda/structures.html", _xlpm.ret, _xlfn.VSTACK(_xlpm.structure, _xlfn.HSTACK(_xlpm.name, ROWS(_xlpm.array), COLUMNS(_xlpm.array)), _xlfn.HSTACK("", _xlpm.array)), _xlfn.MAP(_xlpm.ret, _xlfn.LAMBDA(_xlpm.cell, IF(ISNA(_xlpm.cell), "", _xlpm.cell)))))</definedName>
    <definedName name="L.STRUCT_CREATE" comment="Creates a structure with up to 3 fields.">_xlfn.LAMBDA(_xlpm.name_1,_xlpm.array_1,_xlop.name_2,_xlop.array_2,_xlop.name_3,_xlop.array_3,_xlop.name_4,_xlop.array_4, _xlfn.LET(_xlpm.doc, "https://www.vertex42.com/lambda/structures.html", _xlpm.one, _xlfn.VSTACK(_xlfn.HSTACK(_xlpm.name_1, ROWS(_xlpm.array_1), COLUMNS(_xlpm.array_1)), _xlfn.HSTACK("", _xlpm.array_1)), _xlpm.include_2, NOT(AND(_xlfn.ISOMITTED(_xlpm.name_2), _xlfn.ISOMITTED(_xlpm.array_2))), _xlpm.include_3, NOT(AND(_xlfn.ISOMITTED(_xlpm.name_3), _xlfn.ISOMITTED(_xlpm.array_3))), _xlpm.include_4, NOT(AND(_xlfn.ISOMITTED(_xlpm.name_4), _xlfn.ISOMITTED(_xlpm.array_4))), _xlpm.two, IF(_xlpm.include_2, IFERROR(_xlfn.VSTACK(_xlfn.HSTACK(_xlpm.name_2, ROWS(_xlpm.array_2), COLUMNS(_xlpm.array_2)), _xlfn.HSTACK("", _xlpm.array_2)), ""), "Empty"), _xlpm.three, IF(_xlpm.include_3, IFERROR(_xlfn.VSTACK(_xlfn.HSTACK(_xlpm.name_3, ROWS(_xlpm.array_3), COLUMNS(_xlpm.array_3)), _xlfn.HSTACK("", _xlpm.array_3)), ""), "Empty"), _xlpm.four, IF(_xlpm.include_4, IFERROR(_xlfn.VSTACK(_xlfn.HSTACK(_xlpm.name_4, ROWS(_xlpm.array_4), COLUMNS(_xlpm.array_4)), _xlfn.HSTACK("", _xlpm.array_4)), ""), "Empty"), _xlpm.ret, IF(NOT(_xlpm.include_2), _xlpm.one, IF(NOT(_xlpm.include_3), _xlfn.VSTACK(_xlpm.one, _xlpm.two), IF(NOT(_xlpm.include_4), _xlfn.VSTACK(_xlpm.one, _xlpm.two, _xlpm.three), _xlfn.VSTACK(_xlpm.one, _xlpm.two, _xlpm.three, _xlpm.four)))), _xlfn.MAP(_xlpm.ret, _xlfn.LAMBDA(_xlpm.cell, IF(ISNA(_xlpm.cell), "", _xlpm.cell)))))</definedName>
    <definedName name="L.STRUCT_GET" comment="Returns the field defined by the name">_xlfn.LAMBDA(_xlpm.name,_xlpm.structure, _xlfn.LET(_xlpm.doc, "https://www.vertex42.com/lambda/structures.html", _xlpm.n, COLUMNS(_xlpm.name), _xlpm.getStruct, _xlfn.LAMBDA(_xlpm.id,_xlpm.struct_i, _xlfn.LET(_xlpm.row, MATCH(_xlpm.id, INDEX(_xlpm.struct_i, 0, 1), 0), _xlpm.rows, INDEX(_xlpm.struct_i, _xlpm.row, 2), _xlpm.cols, INDEX(_xlpm.struct_i, _xlpm.row, 3), INDEX(_xlpm.struct_i, _xlpm.row + 1, 2):INDEX(_xlpm.struct_i, _xlpm.row + _xlpm.rows, 1 + _xlpm.cols))), IF(_xlpm.n = 1, _xlpm.getStruct(_xlpm.name, _xlpm.structure), _xlfn.REDUCE(_xlpm.structure, _xlfn.SEQUENCE(_xlpm.n), _xlfn.LAMBDA(_xlpm.acc,_xlpm.i, _xlpm.getStruct(INDEX(_xlpm.name, _xlpm.i), _xlpm.acc))))))</definedName>
    <definedName name="L.STRUCT_REMOVE" comment="Removes a field by name from an existing structure.">_xlfn.LAMBDA(_xlpm.name,_xlpm.structure, _xlfn.LET(_xlpm.doc, "https://www.vertex42.com/lambda/structures.html", _xlpm.row, MATCH(_xlpm.name, INDEX(_xlpm.structure, 0, 1), 0), _xlpm.rows, INDEX(_xlpm.structure, _xlpm.row, 2), _xlpm.filter_rows, _xlfn.VSTACK(_xlfn.SEQUENCE(_xlpm.row - 1, 1, 1, 0), _xlfn.SEQUENCE(_xlpm.rows + 1, 1, 0, 0), _xlfn.SEQUENCE(ROWS(_xlpm.structure) - (_xlpm.row + _xlpm.rows), 1, 1, 0)), _xlfn._xlws.FILTER(_xlpm.structure, _xlpm.filter_rows)))</definedName>
    <definedName name="L.TEXT2ARRAY" comment="Converts a text string to a row (dim=1, default) or column (dim=2) of characters">_xlfn.LAMBDA(_xlpm.text,_xlop.dim, _xlfn.LET(_xlpm.doc, "https://www.vertex42.com/lambda/text2array.html", _xlpm.dim, IF(_xlfn.ISOMITTED(_xlpm.dim), 1, _xlpm.dim), _xlpm.text_array, IF(COLUMNS(_xlpm.text) &gt; 1, TRANSPOSE(_xlpm.text), _xlpm.text), _xlpm.result, _xlfn.REDUCE("", _xlfn.SEQUENCE(ROWS(_xlpm.text_array)), _xlfn.LAMBDA(_xlpm.acc,_xlpm.i, _xlfn.LET(_xlpm.cell, INDEX(_xlpm.text_array, _xlpm.i, 1), _xlpm.splitArray, IF(_xlpm.cell = "", "", _xlfn.REGEXEXTRACT(_xlpm.cell, ".", 1)), IF(_xlpm.i = 1, _xlpm.splitArray, _xlfn.VSTACK(_xlpm.acc, _xlpm.splitArray))))), _xlpm.cleaned, _xlfn.MAP(_xlpm.result, _xlfn.LAMBDA(_xlpm._v, IF(ISNA(_xlpm._v), "", _xlpm._v))), IF(_xlpm.dim = 2, TRANSPOSE(_xlpm.cleaned), _xlpm.cleaned)))</definedName>
    <definedName name="L.TIMER" comment="Runs a function n times in sequence using BYROW and returns the time in milliseconds_x000a_Resolution is about 10 milliseconds">_xlfn.LAMBDA(_xlpm.n_iterations,_xlpm.function,_xlop.ret_values,_xlop.j,_xlop.k, _xlfn.LET(_xlpm.doc, "https://www.vertex42.com/lambda/timer.html", _xlpm.started, NOW(), _xlpm.seq, _xlfn.SEQUENCE(_xlpm.n_iterations), _xlpm.result, _xlfn.BYROW(_xlpm.seq, _xlfn.LAMBDA(_xlpm.i, INDEX(_xlpm.function(_xlpm.i), IF(ISBLANK(_xlpm.j), 1, _xlpm.j), IF(ISBLANK(_xlpm.k), 1, _xlpm.k)))), _xlpm.time_in_ms, (NOW() - _xlpm.started) * 24 * 3600000, IF(_xlpm.ret_values = TRUE, _xlpm.result, _xlpm.time_in_ms)))</definedName>
    <definedName name="L.TRACE" comment="Sum of the Diagonal of a square matrix">_xlfn.LAMBDA(_xlpm.matrix, _xlfn.LET(_xlpm.doc, "https://www.vertex42.com/lambda/diag.html", SUM(_xlpm.matrix * _xlfn.MUNIT(ROWS(_xlpm.matrix)))))</definedName>
    <definedName name="L.TRAPZ" comment="Numerical Integration using the Trapezoidal Rule_x000a_Defaults: dx=1 if x and dx are blank, cumulative=FALSE">_xlfn.LAMBDA(_xlpm.y,_xlop.x,_xlop.dx,_xlop.cumulative, _xlfn.LET(_xlpm.doc, "https://www.vertex42.com/lambda/trapz.html", _xlpm.dx, IF(ISBLANK(_xlpm.dx), 1, _xlpm.dx), _xlpm.areas, IF(_xlfn.ISOMITTED(_xlpm.x), (_xlfn.DROP(_xlpm.y, -1) + _xlfn.DROP(_xlpm.y, 1)) / 2 * _xlpm.dx, ((_xlfn.DROP(_xlpm.y, -1) + _xlfn.DROP(_xlpm.y, 1)) / 2) * (_xlfn.DROP(_xlpm.x, 1) - _xlfn.DROP(_xlpm.x, -1))), _xlfn.REDUCE("", _xlfn.SEQUENCE(COLUMNS(_xlpm.areas)), _xlfn.LAMBDA(_xlpm.acc,_xlpm.i, _xlfn.LET(_xlpm.col, _xlfn.CHOOSECOLS(_xlpm.areas, _xlpm.i), _xlpm.new, IF(_xlpm.cumulative = TRUE, _xlfn.SCAN(0, _xlfn.SEQUENCE(ROWS(_xlpm.col) + 1), _xlfn.LAMBDA(_xlpm.acc,_xlpm.i, IF(_xlpm.i = 1, 0, _xlpm.acc + INDEX(_xlpm.col, _xlpm.i - 1, 1)))), SUM(_xlpm.col)), IF(_xlpm.i = 1, _xlpm.new, _xlfn.HSTACK(_xlpm.acc, _xlpm.new)))))))</definedName>
    <definedName name="L.VSTACK_ForEach" comment="VSTACK the result of expression for each value in a vector_x000a_e.g. VSTACK_ForEach(vector, LAMBDA(val, SEQUENCE(val) ) ))">_xlfn.LAMBDA(_xlpm.vector,_xlpm.lambda_function, _xlfn.LET(_xlpm.doc, "https://www.vertex42.com/lambda/byrow2d.html", _xlfn.DROP(_xlfn.REDUCE("", _xlpm.vector, _xlfn.LAMBDA(_xlpm.acc,_xlpm.val, _xlfn.VSTACK(_xlpm.acc, _xlpm.lambda_function(_xlpm.val)))), 1)))</definedName>
    <definedName name="L.ZEROS" comment="ZEROS(array) :: Returns a matrix of 0s the size of array_x000a_ZEROS(m,[n]) :: Returns a matrix of 0s the size of m x n (default n=1)">_xlfn.LAMBDA(_xlpm.m_rows,_xlop.n_columns, _xlfn.LET(_xlpm.doc, "https://www.vertex42.com/lambda/ones-and-zeros.html", _xlpm.rows, ROWS(_xlpm.m_rows), _xlpm.cols, COLUMNS(_xlpm.m_rows), IF(OR(_xlpm.rows &gt; 1, _xlpm.cols &gt; 1), _xlfn.SEQUENCE(_xlpm.rows, _xlpm.cols, 0, 0), IF(_xlfn.ISOMITTED(_xlpm.n_columns), _xlfn.SEQUENCE(_xlpm.m_rows, 1, 0, 0), _xlfn.SEQUENCE(_xlpm.m_rows, _xlpm.n_columns, 0, 0)))))</definedName>
    <definedName name="valuevx">42.314159</definedName>
    <definedName name="vertex42_copyright">"© 2024 Vertex42 LLC "</definedName>
    <definedName name="vertex42_id">"lambda-library.xlsx"</definedName>
    <definedName name="vertex42_title">"LAMBDA Library Functions"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20" l="1"/>
  <c r="E141" i="20" l="1" a="1"/>
  <c r="E141" i="20" s="1"/>
  <c r="C131" i="1" a="1"/>
  <c r="C131" i="1" s="1"/>
  <c r="C160" i="23" a="1"/>
  <c r="C160" i="23" s="1"/>
  <c r="C153" i="23" a="1"/>
  <c r="C153" i="23" s="1"/>
  <c r="C47" i="1" a="1"/>
  <c r="C47" i="1" s="1"/>
  <c r="J95" i="19" a="1"/>
  <c r="J95" i="19" s="1"/>
  <c r="C95" i="19" a="1"/>
  <c r="C95" i="19" s="1"/>
  <c r="B83" i="19" a="1"/>
  <c r="B83" i="19" s="1"/>
  <c r="C82" i="19" a="1"/>
  <c r="C82" i="19" s="1"/>
  <c r="D161" i="20" a="1"/>
  <c r="D161" i="20" s="1"/>
  <c r="D160" i="20" a="1"/>
  <c r="D160" i="20" s="1"/>
  <c r="D159" i="20" a="1"/>
  <c r="D159" i="20" s="1"/>
  <c r="D158" i="20" a="1"/>
  <c r="D158" i="20" s="1"/>
  <c r="C40" i="1" a="1"/>
  <c r="C40" i="1" s="1"/>
  <c r="C39" i="1" a="1"/>
  <c r="C39" i="1" s="1"/>
  <c r="C56" i="1" a="1"/>
  <c r="C56" i="1" s="1"/>
  <c r="D40" i="1" a="1"/>
  <c r="D47" i="1" a="1"/>
  <c r="D39" i="1" a="1"/>
  <c r="D131" i="1" a="1"/>
  <c r="D56" i="1" a="1"/>
  <c r="D131" i="1" l="1"/>
  <c r="D47" i="1"/>
  <c r="D40" i="1"/>
  <c r="D39" i="1"/>
  <c r="D56" i="1"/>
  <c r="F188" i="19" l="1" a="1"/>
  <c r="F188" i="19" s="1"/>
  <c r="C305" i="19" l="1" a="1"/>
  <c r="C305" i="19" s="1"/>
  <c r="C322" i="19" a="1"/>
  <c r="C322" i="19" s="1"/>
  <c r="E318" i="19"/>
  <c r="F275" i="19" a="1"/>
  <c r="F275" i="19" s="1"/>
  <c r="G121" i="19" a="1"/>
  <c r="G121" i="19" s="1"/>
  <c r="G128" i="19" s="1" a="1"/>
  <c r="G128" i="19" s="1"/>
  <c r="C121" i="19" a="1"/>
  <c r="C121" i="19" s="1"/>
  <c r="C128" i="19" s="1" a="1"/>
  <c r="C128" i="19" s="1"/>
  <c r="F88" i="23"/>
  <c r="D57" i="23" a="1"/>
  <c r="D57" i="23" s="1"/>
  <c r="F126" i="20" a="1"/>
  <c r="F126" i="20" s="1"/>
  <c r="H20" i="24" a="1"/>
  <c r="H20" i="24" s="1"/>
  <c r="I52" i="24" a="1"/>
  <c r="I52" i="24" s="1"/>
  <c r="C111" i="24" a="1"/>
  <c r="C111" i="24" s="1"/>
  <c r="D42" i="24" a="1"/>
  <c r="D42" i="24" s="1"/>
  <c r="D35" i="24" a="1"/>
  <c r="D35" i="24" s="1"/>
  <c r="E84" i="24" a="1"/>
  <c r="E84" i="24" s="1"/>
  <c r="E80" i="24" a="1"/>
  <c r="E80" i="24" s="1"/>
  <c r="E71" i="24" a="1"/>
  <c r="E71" i="24" s="1"/>
  <c r="E67" i="24" a="1"/>
  <c r="E67" i="24" s="1"/>
  <c r="E58" i="24" a="1"/>
  <c r="E58" i="24" s="1"/>
  <c r="E54" i="24" a="1"/>
  <c r="E54" i="24" s="1"/>
  <c r="C186" i="25" a="1"/>
  <c r="C186" i="25" s="1"/>
  <c r="C165" i="25" a="1"/>
  <c r="C165" i="25" s="1"/>
  <c r="G165" i="25" s="1" a="1"/>
  <c r="G165" i="25" s="1"/>
  <c r="C159" i="25" a="1"/>
  <c r="C159" i="25" s="1"/>
  <c r="G151" i="25" a="1"/>
  <c r="G151" i="25" s="1"/>
  <c r="G152" i="25" s="1" a="1"/>
  <c r="G152" i="25" s="1"/>
  <c r="D150" i="25" a="1"/>
  <c r="D150" i="25" s="1"/>
  <c r="C156" i="25" s="1" a="1"/>
  <c r="C156" i="25" s="1"/>
  <c r="C73" i="25" a="1"/>
  <c r="C73" i="25" s="1"/>
  <c r="C33" i="25" a="1"/>
  <c r="C33" i="25" s="1"/>
  <c r="C16" i="25" a="1"/>
  <c r="C16" i="25" s="1"/>
  <c r="F16" i="25" s="1" a="1"/>
  <c r="F16" i="25" s="1"/>
  <c r="C274" i="17" a="1"/>
  <c r="C274" i="17" s="1"/>
  <c r="C298" i="17" s="1" a="1"/>
  <c r="C298" i="17" s="1"/>
  <c r="C251" i="17" a="1"/>
  <c r="C251" i="17" s="1"/>
  <c r="H243" i="17" a="1"/>
  <c r="H243" i="17" s="1"/>
  <c r="H242" i="17" a="1"/>
  <c r="H242" i="17" s="1"/>
  <c r="C225" i="17" a="1"/>
  <c r="C225" i="17" s="1"/>
  <c r="C208" i="17" a="1"/>
  <c r="C208" i="17" s="1"/>
  <c r="H187" i="17" a="1"/>
  <c r="H187" i="17" s="1"/>
  <c r="H173" i="17" a="1"/>
  <c r="H173" i="17" s="1"/>
  <c r="C160" i="17" a="1"/>
  <c r="C160" i="17" s="1"/>
  <c r="H147" i="17" a="1"/>
  <c r="H147" i="17" s="1"/>
  <c r="G147" i="17" a="1"/>
  <c r="G147" i="17" s="1"/>
  <c r="G133" i="17" a="1"/>
  <c r="G133" i="17" s="1"/>
  <c r="I128" i="17" a="1"/>
  <c r="I128" i="17" s="1"/>
  <c r="G119" i="17" a="1"/>
  <c r="G119" i="17" s="1"/>
  <c r="E114" i="17" a="1"/>
  <c r="E114" i="17" s="1"/>
  <c r="D106" i="17" a="1"/>
  <c r="D106" i="17" s="1"/>
  <c r="H101" i="17" a="1"/>
  <c r="H101" i="17" s="1"/>
  <c r="H90" i="17" a="1"/>
  <c r="H90" i="17" s="1"/>
  <c r="G81" i="17" a="1"/>
  <c r="G81" i="17" s="1"/>
  <c r="G72" i="17" a="1"/>
  <c r="G72" i="17" s="1"/>
  <c r="G67" i="17" a="1"/>
  <c r="G67" i="17" s="1"/>
  <c r="H51" i="17" a="1"/>
  <c r="H51" i="17" s="1"/>
  <c r="F51" i="17" a="1"/>
  <c r="F51" i="17" s="1"/>
  <c r="C51" i="17" a="1"/>
  <c r="C51" i="17" s="1"/>
  <c r="H46" i="17" a="1"/>
  <c r="H46" i="17" s="1"/>
  <c r="F46" i="17" a="1"/>
  <c r="F46" i="17" s="1"/>
  <c r="C46" i="17" a="1"/>
  <c r="C46" i="17" s="1"/>
  <c r="G361" i="19" a="1"/>
  <c r="G361" i="19" s="1"/>
  <c r="G349" i="19" a="1"/>
  <c r="G349" i="19" s="1"/>
  <c r="C256" i="19" a="1"/>
  <c r="C256" i="19" s="1"/>
  <c r="D168" i="19" a="1"/>
  <c r="D145" i="19" a="1"/>
  <c r="D145" i="19" s="1"/>
  <c r="D50" i="19" a="1"/>
  <c r="D50" i="19" s="1"/>
  <c r="D49" i="19" a="1"/>
  <c r="D49" i="19" s="1"/>
  <c r="G43" i="19" a="1"/>
  <c r="G43" i="19" s="1"/>
  <c r="F43" i="19" a="1"/>
  <c r="F43" i="19" s="1"/>
  <c r="E43" i="19" a="1"/>
  <c r="E43" i="19" s="1"/>
  <c r="D132" i="20" a="1"/>
  <c r="D132" i="20" s="1"/>
  <c r="G116" i="20" a="1"/>
  <c r="G116" i="20" s="1"/>
  <c r="H108" i="20" a="1"/>
  <c r="H108" i="20" s="1"/>
  <c r="I100" i="20" a="1"/>
  <c r="I100" i="20" s="1"/>
  <c r="C90" i="20" a="1"/>
  <c r="C90" i="20" s="1"/>
  <c r="C84" i="20" a="1"/>
  <c r="C84" i="20" s="1"/>
  <c r="H81" i="20" a="1"/>
  <c r="H81" i="20" s="1"/>
  <c r="G33" i="20" a="1"/>
  <c r="G33" i="20" s="1"/>
  <c r="D38" i="20" s="1" a="1"/>
  <c r="D38" i="20" s="1"/>
  <c r="I18" i="20" a="1"/>
  <c r="I18" i="20" s="1"/>
  <c r="F18" i="20" a="1"/>
  <c r="F18" i="20" s="1"/>
  <c r="C18" i="20" a="1"/>
  <c r="C18" i="20" s="1"/>
  <c r="D185" i="21" a="1"/>
  <c r="D185" i="21" s="1"/>
  <c r="C486" i="21" a="1"/>
  <c r="C486" i="21" s="1"/>
  <c r="G486" i="21" s="1" a="1"/>
  <c r="G486" i="21" s="1"/>
  <c r="D456" i="21" a="1"/>
  <c r="D456" i="21" s="1"/>
  <c r="D457" i="21" s="1" a="1"/>
  <c r="D457" i="21" s="1"/>
  <c r="D445" i="21" a="1"/>
  <c r="D445" i="21" s="1"/>
  <c r="D430" i="21" a="1"/>
  <c r="D430" i="21" s="1"/>
  <c r="D427" i="21" a="1"/>
  <c r="D427" i="21" s="1"/>
  <c r="D362" i="21" a="1"/>
  <c r="D362" i="21" s="1"/>
  <c r="H354" i="21" a="1"/>
  <c r="H354" i="21" s="1"/>
  <c r="D322" i="21" a="1"/>
  <c r="D322" i="21" s="1"/>
  <c r="D323" i="21" s="1" a="1"/>
  <c r="D323" i="21" s="1"/>
  <c r="G316" i="21" a="1"/>
  <c r="G316" i="21" s="1"/>
  <c r="D285" i="21" a="1"/>
  <c r="D285" i="21" s="1"/>
  <c r="G272" i="21" a="1"/>
  <c r="G272" i="21" s="1"/>
  <c r="C393" i="21" s="1" a="1"/>
  <c r="C393" i="21" s="1"/>
  <c r="D259" i="21" a="1"/>
  <c r="D259" i="21" s="1"/>
  <c r="D260" i="21" s="1" a="1"/>
  <c r="D260" i="21" s="1"/>
  <c r="D223" i="21" a="1"/>
  <c r="D223" i="21" s="1"/>
  <c r="D214" i="21" a="1"/>
  <c r="D214" i="21" s="1"/>
  <c r="D203" i="21" a="1"/>
  <c r="D203" i="21" s="1"/>
  <c r="D196" i="21" a="1"/>
  <c r="D196" i="21" s="1"/>
  <c r="D174" i="21" a="1"/>
  <c r="D174" i="21" s="1"/>
  <c r="E162" i="21" a="1"/>
  <c r="E162" i="21" s="1"/>
  <c r="C155" i="21" a="1"/>
  <c r="C155" i="21" s="1"/>
  <c r="E163" i="21" s="1" a="1"/>
  <c r="E163" i="21" s="1"/>
  <c r="D136" i="21" a="1"/>
  <c r="D136" i="21" s="1"/>
  <c r="C147" i="21" s="1" a="1"/>
  <c r="C147" i="21" s="1"/>
  <c r="E126" i="21" a="1"/>
  <c r="E126" i="21" s="1"/>
  <c r="C90" i="21" a="1"/>
  <c r="C90" i="21" s="1"/>
  <c r="C52" i="21" a="1"/>
  <c r="C52" i="21" s="1"/>
  <c r="C31" i="21" a="1"/>
  <c r="C31" i="21" s="1"/>
  <c r="F21" i="21" a="1"/>
  <c r="F21" i="21" s="1"/>
  <c r="C181" i="23" a="1"/>
  <c r="C181" i="23" s="1"/>
  <c r="C144" i="23" a="1"/>
  <c r="C144" i="23" s="1"/>
  <c r="G139" i="23" a="1"/>
  <c r="G139" i="23" s="1"/>
  <c r="E130" i="23" a="1"/>
  <c r="E130" i="23" s="1"/>
  <c r="C107" i="23" a="1"/>
  <c r="C107" i="23" s="1"/>
  <c r="F100" i="23" a="1"/>
  <c r="F100" i="23" s="1"/>
  <c r="F99" i="23" a="1"/>
  <c r="F99" i="23" s="1"/>
  <c r="F98" i="23" a="1"/>
  <c r="F98" i="23" s="1"/>
  <c r="F97" i="23" a="1"/>
  <c r="F97" i="23" s="1"/>
  <c r="C81" i="23" a="1"/>
  <c r="C81" i="23" s="1"/>
  <c r="E62" i="23" a="1"/>
  <c r="E62" i="23" s="1"/>
  <c r="F30" i="23" a="1"/>
  <c r="F30" i="23" s="1"/>
  <c r="G22" i="23" a="1"/>
  <c r="G22" i="23" s="1"/>
  <c r="G21" i="23" a="1"/>
  <c r="G21" i="23" s="1"/>
  <c r="G20" i="23" a="1"/>
  <c r="G20" i="23" s="1"/>
  <c r="G19" i="23" a="1"/>
  <c r="G19" i="23" s="1"/>
  <c r="G18" i="23" a="1"/>
  <c r="G18" i="23" s="1"/>
  <c r="G17" i="23" a="1"/>
  <c r="G17" i="23" s="1"/>
  <c r="G16" i="23" a="1"/>
  <c r="G16" i="23" s="1"/>
  <c r="C144" i="1" a="1"/>
  <c r="C144" i="1" s="1"/>
  <c r="C143" i="1" a="1"/>
  <c r="C143" i="1" s="1"/>
  <c r="C142" i="1" a="1"/>
  <c r="C142" i="1" s="1"/>
  <c r="C141" i="1" a="1"/>
  <c r="C141" i="1" s="1"/>
  <c r="C140" i="1" a="1"/>
  <c r="C140" i="1" s="1"/>
  <c r="C137" i="1" a="1"/>
  <c r="C137" i="1" s="1"/>
  <c r="C136" i="1" a="1"/>
  <c r="C136" i="1" s="1"/>
  <c r="C135" i="1" a="1"/>
  <c r="C135" i="1" s="1"/>
  <c r="C134" i="1" a="1"/>
  <c r="C134" i="1" s="1"/>
  <c r="C130" i="1" a="1"/>
  <c r="C130" i="1" s="1"/>
  <c r="C129" i="1" a="1"/>
  <c r="C129" i="1" s="1"/>
  <c r="C128" i="1" a="1"/>
  <c r="C128" i="1" s="1"/>
  <c r="C125" i="1" a="1"/>
  <c r="C125" i="1" s="1"/>
  <c r="C124" i="1" a="1"/>
  <c r="C124" i="1" s="1"/>
  <c r="C121" i="1" a="1"/>
  <c r="C121" i="1" s="1"/>
  <c r="C120" i="1" a="1"/>
  <c r="C120" i="1" s="1"/>
  <c r="C119" i="1" a="1"/>
  <c r="C119" i="1" s="1"/>
  <c r="C118" i="1" a="1"/>
  <c r="C118" i="1" s="1"/>
  <c r="C115" i="1" a="1"/>
  <c r="C115" i="1" s="1"/>
  <c r="C114" i="1" a="1"/>
  <c r="C114" i="1" s="1"/>
  <c r="C113" i="1" a="1"/>
  <c r="C113" i="1" s="1"/>
  <c r="C112" i="1" a="1"/>
  <c r="C112" i="1" s="1"/>
  <c r="C111" i="1" a="1"/>
  <c r="C111" i="1" s="1"/>
  <c r="C110" i="1" a="1"/>
  <c r="C110" i="1" s="1"/>
  <c r="C109" i="1" a="1"/>
  <c r="C109" i="1" s="1"/>
  <c r="C108" i="1" a="1"/>
  <c r="C108" i="1" s="1"/>
  <c r="C107" i="1" a="1"/>
  <c r="C107" i="1" s="1"/>
  <c r="C104" i="1" a="1"/>
  <c r="C104" i="1" s="1"/>
  <c r="C103" i="1" a="1"/>
  <c r="C103" i="1" s="1"/>
  <c r="C102" i="1" a="1"/>
  <c r="C102" i="1" s="1"/>
  <c r="C101" i="1" a="1"/>
  <c r="C101" i="1" s="1"/>
  <c r="C100" i="1" a="1"/>
  <c r="C100" i="1" s="1"/>
  <c r="C97" i="1" a="1"/>
  <c r="C97" i="1" s="1"/>
  <c r="C96" i="1" a="1"/>
  <c r="C96" i="1" s="1"/>
  <c r="C95" i="1" a="1"/>
  <c r="C95" i="1" s="1"/>
  <c r="C94" i="1" a="1"/>
  <c r="C94" i="1" s="1"/>
  <c r="C93" i="1" a="1"/>
  <c r="C93" i="1" s="1"/>
  <c r="C92" i="1" a="1"/>
  <c r="C92" i="1" s="1"/>
  <c r="C91" i="1" a="1"/>
  <c r="C91" i="1" s="1"/>
  <c r="C90" i="1" a="1"/>
  <c r="C90" i="1" s="1"/>
  <c r="C89" i="1" a="1"/>
  <c r="C89" i="1" s="1"/>
  <c r="C88" i="1" a="1"/>
  <c r="C88" i="1" s="1"/>
  <c r="C87" i="1" a="1"/>
  <c r="C87" i="1" s="1"/>
  <c r="C86" i="1" a="1"/>
  <c r="C86" i="1" s="1"/>
  <c r="C85" i="1" a="1"/>
  <c r="C85" i="1" s="1"/>
  <c r="C84" i="1" a="1"/>
  <c r="C84" i="1" s="1"/>
  <c r="C81" i="1" a="1"/>
  <c r="C81" i="1" s="1"/>
  <c r="C80" i="1" a="1"/>
  <c r="C80" i="1" s="1"/>
  <c r="C79" i="1" a="1"/>
  <c r="C79" i="1" s="1"/>
  <c r="C78" i="1" a="1"/>
  <c r="C78" i="1" s="1"/>
  <c r="C77" i="1" a="1"/>
  <c r="C77" i="1" s="1"/>
  <c r="C74" i="1" a="1"/>
  <c r="C74" i="1" s="1"/>
  <c r="C73" i="1" a="1"/>
  <c r="C73" i="1" s="1"/>
  <c r="C72" i="1" a="1"/>
  <c r="C72" i="1" s="1"/>
  <c r="C71" i="1" a="1"/>
  <c r="C71" i="1" s="1"/>
  <c r="C70" i="1" a="1"/>
  <c r="C70" i="1" s="1"/>
  <c r="C69" i="1" a="1"/>
  <c r="C69" i="1" s="1"/>
  <c r="C68" i="1" a="1"/>
  <c r="C68" i="1" s="1"/>
  <c r="C67" i="1" a="1"/>
  <c r="C67" i="1" s="1"/>
  <c r="C66" i="1" a="1"/>
  <c r="C66" i="1" s="1"/>
  <c r="C65" i="1" a="1"/>
  <c r="C65" i="1" s="1"/>
  <c r="C64" i="1" a="1"/>
  <c r="C64" i="1" s="1"/>
  <c r="C63" i="1" a="1"/>
  <c r="C63" i="1" s="1"/>
  <c r="C62" i="1" a="1"/>
  <c r="C62" i="1" s="1"/>
  <c r="C61" i="1" a="1"/>
  <c r="C61" i="1" s="1"/>
  <c r="C60" i="1" a="1"/>
  <c r="C60" i="1" s="1"/>
  <c r="C59" i="1" a="1"/>
  <c r="C59" i="1" s="1"/>
  <c r="C55" i="1" a="1"/>
  <c r="C55" i="1" s="1"/>
  <c r="C54" i="1" a="1"/>
  <c r="C54" i="1" s="1"/>
  <c r="C53" i="1" a="1"/>
  <c r="C53" i="1" s="1"/>
  <c r="C52" i="1" a="1"/>
  <c r="C52" i="1" s="1"/>
  <c r="C51" i="1" a="1"/>
  <c r="C51" i="1" s="1"/>
  <c r="C50" i="1" a="1"/>
  <c r="C50" i="1" s="1"/>
  <c r="C49" i="1" a="1"/>
  <c r="C49" i="1" s="1"/>
  <c r="C48" i="1" a="1"/>
  <c r="C48" i="1" s="1"/>
  <c r="C46" i="1" a="1"/>
  <c r="C46" i="1" s="1"/>
  <c r="C45" i="1" a="1"/>
  <c r="C45" i="1" s="1"/>
  <c r="C44" i="1" a="1"/>
  <c r="C44" i="1" s="1"/>
  <c r="C43" i="1" a="1"/>
  <c r="C43" i="1" s="1"/>
  <c r="C38" i="1" a="1"/>
  <c r="C38" i="1" s="1"/>
  <c r="C37" i="1" a="1"/>
  <c r="C37" i="1" s="1"/>
  <c r="C36" i="1" a="1"/>
  <c r="C36" i="1" s="1"/>
  <c r="C35" i="1" a="1"/>
  <c r="C35" i="1" s="1"/>
  <c r="C34" i="1" a="1"/>
  <c r="C34" i="1" s="1"/>
  <c r="C33" i="1" a="1"/>
  <c r="C33" i="1" s="1"/>
  <c r="C32" i="1" a="1"/>
  <c r="C32" i="1" s="1"/>
  <c r="D95" i="1" a="1"/>
  <c r="D140" i="1" a="1"/>
  <c r="D34" i="1" a="1"/>
  <c r="D62" i="1" a="1"/>
  <c r="D55" i="1" a="1"/>
  <c r="D134" i="1" a="1"/>
  <c r="D91" i="1" a="1"/>
  <c r="D96" i="1" a="1"/>
  <c r="D102" i="1" a="1"/>
  <c r="D59" i="1" a="1"/>
  <c r="D70" i="1" a="1"/>
  <c r="D130" i="1" a="1"/>
  <c r="D118" i="1" a="1"/>
  <c r="D67" i="1" a="1"/>
  <c r="D68" i="1" a="1"/>
  <c r="D142" i="1" a="1"/>
  <c r="D79" i="1" a="1"/>
  <c r="D74" i="1" a="1"/>
  <c r="D45" i="1" a="1"/>
  <c r="D129" i="1" a="1"/>
  <c r="D48" i="1" a="1"/>
  <c r="D50" i="1" a="1"/>
  <c r="D135" i="1" a="1"/>
  <c r="C174" i="23" a="1"/>
  <c r="D94" i="1" a="1"/>
  <c r="D52" i="1" a="1"/>
  <c r="D144" i="1" a="1"/>
  <c r="D53" i="1" a="1"/>
  <c r="D136" i="1" a="1"/>
  <c r="D103" i="1" a="1"/>
  <c r="D60" i="1" a="1"/>
  <c r="D87" i="1" a="1"/>
  <c r="D128" i="1" a="1"/>
  <c r="D121" i="1" a="1"/>
  <c r="D51" i="1" a="1"/>
  <c r="D65" i="1" a="1"/>
  <c r="D69" i="1" a="1"/>
  <c r="D84" i="1" a="1"/>
  <c r="D78" i="1" a="1"/>
  <c r="D32" i="1" a="1"/>
  <c r="D100" i="1" a="1"/>
  <c r="D66" i="1" a="1"/>
  <c r="D49" i="1" a="1"/>
  <c r="D63" i="1" a="1"/>
  <c r="D81" i="1" a="1"/>
  <c r="D90" i="1" a="1"/>
  <c r="D120" i="1" a="1"/>
  <c r="D71" i="1" a="1"/>
  <c r="D97" i="1" a="1"/>
  <c r="D37" i="1" a="1"/>
  <c r="D92" i="1" a="1"/>
  <c r="D64" i="1" a="1"/>
  <c r="D85" i="1" a="1"/>
  <c r="D44" i="1" a="1"/>
  <c r="G181" i="23" a="1"/>
  <c r="D61" i="1" a="1"/>
  <c r="D125" i="1" a="1"/>
  <c r="D77" i="1" a="1"/>
  <c r="D54" i="1" a="1"/>
  <c r="D38" i="1" a="1"/>
  <c r="D143" i="1" a="1"/>
  <c r="D88" i="1" a="1"/>
  <c r="D104" i="1" a="1"/>
  <c r="D137" i="1" a="1"/>
  <c r="D35" i="1" a="1"/>
  <c r="D46" i="1" a="1"/>
  <c r="D93" i="1" a="1"/>
  <c r="D80" i="1" a="1"/>
  <c r="D101" i="1" a="1"/>
  <c r="D33" i="1" a="1"/>
  <c r="D43" i="1" a="1"/>
  <c r="D86" i="1" a="1"/>
  <c r="D73" i="1" a="1"/>
  <c r="D141" i="1" a="1"/>
  <c r="D72" i="1" a="1"/>
  <c r="D89" i="1" a="1"/>
  <c r="D36" i="1" a="1"/>
  <c r="E31" i="21" l="1" a="1"/>
  <c r="E31" i="21" s="1"/>
  <c r="D168" i="19"/>
  <c r="D180" i="19" a="1"/>
  <c r="D180" i="19" s="1"/>
  <c r="G175" i="25" a="1"/>
  <c r="G175" i="25" s="1"/>
  <c r="D325" i="21" a="1"/>
  <c r="D325" i="21" s="1"/>
  <c r="G174" i="25" a="1"/>
  <c r="G174" i="25" s="1"/>
  <c r="D261" i="21" a="1"/>
  <c r="D261" i="21" s="1"/>
  <c r="D287" i="21" a="1"/>
  <c r="D287" i="21" s="1"/>
  <c r="D365" i="21" a="1"/>
  <c r="D365" i="21" s="1"/>
  <c r="G172" i="25" a="1"/>
  <c r="G172" i="25" s="1"/>
  <c r="G173" i="25" a="1"/>
  <c r="G173" i="25" s="1"/>
  <c r="C406" i="21" a="1"/>
  <c r="C406" i="21" s="1"/>
  <c r="H406" i="21" s="1" a="1"/>
  <c r="H406" i="21" s="1"/>
  <c r="H393" i="21" a="1"/>
  <c r="H393" i="21" s="1"/>
  <c r="D288" i="21" a="1"/>
  <c r="D288" i="21" s="1"/>
  <c r="D424" i="21" a="1"/>
  <c r="D424" i="21" s="1"/>
  <c r="G171" i="25" a="1"/>
  <c r="G171" i="25" s="1"/>
  <c r="D324" i="21" a="1"/>
  <c r="D324" i="21" s="1"/>
  <c r="K274" i="17" a="1"/>
  <c r="K274" i="17" s="1"/>
  <c r="K275" i="17" a="1"/>
  <c r="K275" i="17" s="1"/>
  <c r="D51" i="19" a="1"/>
  <c r="D51" i="19" s="1"/>
  <c r="D286" i="21" a="1"/>
  <c r="D286" i="21" s="1"/>
  <c r="D363" i="21" a="1"/>
  <c r="D363" i="21" s="1"/>
  <c r="D366" i="21" a="1"/>
  <c r="D366" i="21" s="1"/>
  <c r="G166" i="25" a="1"/>
  <c r="G166" i="25" s="1"/>
  <c r="D225" i="21" a="1"/>
  <c r="D225" i="21" s="1"/>
  <c r="G168" i="25" a="1"/>
  <c r="G168" i="25" s="1"/>
  <c r="D364" i="21" a="1"/>
  <c r="D364" i="21" s="1"/>
  <c r="G167" i="25" a="1"/>
  <c r="G167" i="25" s="1"/>
  <c r="G169" i="25" a="1"/>
  <c r="G169" i="25" s="1"/>
  <c r="G170" i="25" a="1"/>
  <c r="G170" i="25" s="1"/>
  <c r="G181" i="23"/>
  <c r="C174" i="23"/>
  <c r="D102" i="1"/>
  <c r="D65" i="1"/>
  <c r="D90" i="1"/>
  <c r="D67" i="1"/>
  <c r="D91" i="1"/>
  <c r="D55" i="1"/>
  <c r="D80" i="1"/>
  <c r="D104" i="1"/>
  <c r="D59" i="1"/>
  <c r="D93" i="1"/>
  <c r="D118" i="1"/>
  <c r="D137" i="1"/>
  <c r="D60" i="1"/>
  <c r="D94" i="1"/>
  <c r="D140" i="1"/>
  <c r="D130" i="1"/>
  <c r="D38" i="1"/>
  <c r="D134" i="1"/>
  <c r="D54" i="1"/>
  <c r="D79" i="1"/>
  <c r="D135" i="1"/>
  <c r="D68" i="1"/>
  <c r="D92" i="1"/>
  <c r="D136" i="1"/>
  <c r="D45" i="1"/>
  <c r="D69" i="1"/>
  <c r="D81" i="1"/>
  <c r="D32" i="1"/>
  <c r="D46" i="1"/>
  <c r="D70" i="1"/>
  <c r="D84" i="1"/>
  <c r="D120" i="1"/>
  <c r="D37" i="1"/>
  <c r="D43" i="1"/>
  <c r="D103" i="1"/>
  <c r="D44" i="1"/>
  <c r="D33" i="1"/>
  <c r="D48" i="1"/>
  <c r="D61" i="1"/>
  <c r="D71" i="1"/>
  <c r="D85" i="1"/>
  <c r="D95" i="1"/>
  <c r="D121" i="1"/>
  <c r="D141" i="1"/>
  <c r="D78" i="1"/>
  <c r="D142" i="1"/>
  <c r="D125" i="1"/>
  <c r="D52" i="1"/>
  <c r="D66" i="1"/>
  <c r="D35" i="1"/>
  <c r="D87" i="1"/>
  <c r="D143" i="1"/>
  <c r="D89" i="1"/>
  <c r="D49" i="1"/>
  <c r="D86" i="1"/>
  <c r="D73" i="1"/>
  <c r="D128" i="1"/>
  <c r="D77" i="1"/>
  <c r="D34" i="1"/>
  <c r="D72" i="1"/>
  <c r="D63" i="1"/>
  <c r="D129" i="1"/>
  <c r="D101" i="1"/>
  <c r="D53" i="1"/>
  <c r="D62" i="1"/>
  <c r="D96" i="1"/>
  <c r="D50" i="1"/>
  <c r="D97" i="1"/>
  <c r="D36" i="1"/>
  <c r="D51" i="1"/>
  <c r="D64" i="1"/>
  <c r="D74" i="1"/>
  <c r="D88" i="1"/>
  <c r="D100" i="1"/>
  <c r="D144" i="1"/>
  <c r="C73" i="23" l="1"/>
  <c r="E70" i="23" s="1" a="1"/>
  <c r="E70" i="23" s="1"/>
  <c r="B188" i="25"/>
  <c r="G184" i="25"/>
  <c r="D186" i="25" a="1"/>
  <c r="D186" i="25" s="1"/>
  <c r="G185" i="25" l="1" a="1"/>
  <c r="G185" i="25" s="1"/>
  <c r="G186" i="25" s="1"/>
  <c r="D165" i="25" a="1"/>
  <c r="D165" i="25" s="1"/>
  <c r="E165" i="25" s="1" a="1"/>
  <c r="E165" i="25" s="1"/>
  <c r="B33" i="25"/>
  <c r="B35" i="25" s="1"/>
  <c r="D16" i="25" a="1"/>
  <c r="B92" i="21"/>
  <c r="F88" i="21" s="1" a="1"/>
  <c r="F88" i="21" s="1"/>
  <c r="F127" i="20" a="1"/>
  <c r="F127" i="20" s="1"/>
  <c r="B38" i="25" l="1"/>
  <c r="F73" i="25" a="1"/>
  <c r="F73" i="25" s="1"/>
  <c r="E73" i="25" a="1"/>
  <c r="E73" i="25" s="1"/>
  <c r="D73" i="25" a="1"/>
  <c r="D73" i="25" s="1"/>
  <c r="D16" i="25"/>
  <c r="I16" i="25" s="1" a="1"/>
  <c r="I16" i="25" s="1"/>
  <c r="E200" i="21"/>
  <c r="E201" i="21" s="1"/>
  <c r="J73" i="25" l="1" a="1"/>
  <c r="J73" i="25" s="1"/>
  <c r="I73" i="25" s="1" a="1"/>
  <c r="I73" i="25" s="1"/>
  <c r="H73" i="25" a="1"/>
  <c r="H73" i="25" s="1"/>
  <c r="G73" i="25" s="1" a="1"/>
  <c r="G73" i="25" s="1"/>
  <c r="G16" i="25" a="1"/>
  <c r="G16" i="25" s="1"/>
  <c r="G33" i="25" a="1"/>
  <c r="G33" i="25" s="1"/>
  <c r="F33" i="25" a="1"/>
  <c r="F33" i="25" s="1"/>
  <c r="E33" i="25" a="1"/>
  <c r="E33" i="25" s="1"/>
  <c r="D33" i="25" a="1"/>
  <c r="D33" i="25" s="1"/>
  <c r="C499" i="21"/>
  <c r="C501" i="21"/>
  <c r="C500" i="21"/>
  <c r="O33" i="25" l="1" a="1"/>
  <c r="O33" i="25" s="1"/>
  <c r="M33" i="25" a="1"/>
  <c r="M33" i="25" s="1"/>
  <c r="K33" i="25" a="1"/>
  <c r="K33" i="25" s="1"/>
  <c r="I33" i="25" a="1"/>
  <c r="I33" i="25" s="1"/>
  <c r="W33" i="25" a="1"/>
  <c r="W33" i="25" s="1"/>
  <c r="S33" i="25" a="1"/>
  <c r="S33" i="25" s="1"/>
  <c r="U33" i="25" a="1"/>
  <c r="U33" i="25" s="1"/>
  <c r="Q33" i="25" a="1"/>
  <c r="Q33" i="25" s="1"/>
  <c r="C498" i="21"/>
  <c r="G498" i="21" s="1" a="1"/>
  <c r="G498" i="21" s="1"/>
  <c r="E273" i="21"/>
  <c r="E282" i="21"/>
  <c r="E281" i="21"/>
  <c r="E280" i="21"/>
  <c r="E279" i="21"/>
  <c r="E278" i="21"/>
  <c r="E277" i="21"/>
  <c r="E276" i="21"/>
  <c r="E275" i="21"/>
  <c r="E274" i="21"/>
  <c r="E272" i="21"/>
  <c r="J233" i="19"/>
  <c r="I233" i="19"/>
  <c r="P33" i="25" l="1"/>
  <c r="P42" i="25"/>
  <c r="P61" i="25"/>
  <c r="P48" i="25"/>
  <c r="P47" i="25"/>
  <c r="P41" i="25"/>
  <c r="P57" i="25"/>
  <c r="P53" i="25"/>
  <c r="P37" i="25"/>
  <c r="P59" i="25"/>
  <c r="P39" i="25"/>
  <c r="P63" i="25"/>
  <c r="P43" i="25"/>
  <c r="P52" i="25"/>
  <c r="P45" i="25"/>
  <c r="P60" i="25"/>
  <c r="P56" i="25"/>
  <c r="P55" i="25"/>
  <c r="P46" i="25"/>
  <c r="P58" i="25"/>
  <c r="P54" i="25"/>
  <c r="P49" i="25"/>
  <c r="P38" i="25"/>
  <c r="P34" i="25"/>
  <c r="P62" i="25"/>
  <c r="P40" i="25"/>
  <c r="P36" i="25"/>
  <c r="P44" i="25"/>
  <c r="P51" i="25"/>
  <c r="P35" i="25"/>
  <c r="P50" i="25"/>
  <c r="T33" i="25"/>
  <c r="T60" i="25"/>
  <c r="T56" i="25"/>
  <c r="T43" i="25"/>
  <c r="T59" i="25"/>
  <c r="T35" i="25"/>
  <c r="T40" i="25"/>
  <c r="T36" i="25"/>
  <c r="T44" i="25"/>
  <c r="T39" i="25"/>
  <c r="T50" i="25"/>
  <c r="T49" i="25"/>
  <c r="T63" i="25"/>
  <c r="T55" i="25"/>
  <c r="T46" i="25"/>
  <c r="T61" i="25"/>
  <c r="T54" i="25"/>
  <c r="T47" i="25"/>
  <c r="T52" i="25"/>
  <c r="T53" i="25"/>
  <c r="T57" i="25"/>
  <c r="T41" i="25"/>
  <c r="T37" i="25"/>
  <c r="T45" i="25"/>
  <c r="T48" i="25"/>
  <c r="T51" i="25"/>
  <c r="T34" i="25"/>
  <c r="T62" i="25"/>
  <c r="T58" i="25"/>
  <c r="T42" i="25"/>
  <c r="T38" i="25"/>
  <c r="R61" i="25"/>
  <c r="R62" i="25"/>
  <c r="R42" i="25"/>
  <c r="R44" i="25"/>
  <c r="R45" i="25"/>
  <c r="R43" i="25"/>
  <c r="R63" i="25"/>
  <c r="R33" i="25"/>
  <c r="R46" i="25"/>
  <c r="R53" i="25"/>
  <c r="R47" i="25"/>
  <c r="R35" i="25"/>
  <c r="R55" i="25"/>
  <c r="R51" i="25"/>
  <c r="R56" i="25"/>
  <c r="R36" i="25"/>
  <c r="R37" i="25"/>
  <c r="R39" i="25"/>
  <c r="R59" i="25"/>
  <c r="R58" i="25"/>
  <c r="R40" i="25"/>
  <c r="R38" i="25"/>
  <c r="R60" i="25"/>
  <c r="R41" i="25"/>
  <c r="R34" i="25"/>
  <c r="R48" i="25"/>
  <c r="R54" i="25"/>
  <c r="R49" i="25"/>
  <c r="R50" i="25"/>
  <c r="R52" i="25"/>
  <c r="R57" i="25"/>
  <c r="V33" i="25"/>
  <c r="V59" i="25"/>
  <c r="V62" i="25"/>
  <c r="V51" i="25"/>
  <c r="V47" i="25"/>
  <c r="V55" i="25"/>
  <c r="V61" i="25"/>
  <c r="V60" i="25"/>
  <c r="V58" i="25"/>
  <c r="V42" i="25"/>
  <c r="V41" i="25"/>
  <c r="V40" i="25"/>
  <c r="V54" i="25"/>
  <c r="V46" i="25"/>
  <c r="V39" i="25"/>
  <c r="V35" i="25"/>
  <c r="V34" i="25"/>
  <c r="V50" i="25"/>
  <c r="V53" i="25"/>
  <c r="V44" i="25"/>
  <c r="V63" i="25"/>
  <c r="V52" i="25"/>
  <c r="V48" i="25"/>
  <c r="V43" i="25"/>
  <c r="V36" i="25"/>
  <c r="V56" i="25"/>
  <c r="V38" i="25"/>
  <c r="V45" i="25"/>
  <c r="V49" i="25"/>
  <c r="V57" i="25"/>
  <c r="V37" i="25"/>
  <c r="H33" i="25"/>
  <c r="H43" i="25"/>
  <c r="H63" i="25"/>
  <c r="H44" i="25"/>
  <c r="H45" i="25"/>
  <c r="H46" i="25"/>
  <c r="H47" i="25"/>
  <c r="H53" i="25"/>
  <c r="H54" i="25"/>
  <c r="H35" i="25"/>
  <c r="H56" i="25"/>
  <c r="H57" i="25"/>
  <c r="H38" i="25"/>
  <c r="H39" i="25"/>
  <c r="H60" i="25"/>
  <c r="H59" i="25"/>
  <c r="H48" i="25"/>
  <c r="H42" i="25"/>
  <c r="H49" i="25"/>
  <c r="H50" i="25"/>
  <c r="H51" i="25"/>
  <c r="H52" i="25"/>
  <c r="H34" i="25"/>
  <c r="H55" i="25"/>
  <c r="H36" i="25"/>
  <c r="H37" i="25"/>
  <c r="H58" i="25"/>
  <c r="H40" i="25"/>
  <c r="H41" i="25"/>
  <c r="H61" i="25"/>
  <c r="H62" i="25"/>
  <c r="L33" i="25"/>
  <c r="L43" i="25"/>
  <c r="L63" i="25"/>
  <c r="L44" i="25"/>
  <c r="L45" i="25"/>
  <c r="L46" i="25"/>
  <c r="L47" i="25"/>
  <c r="L53" i="25"/>
  <c r="L34" i="25"/>
  <c r="L35" i="25"/>
  <c r="L36" i="25"/>
  <c r="L57" i="25"/>
  <c r="L38" i="25"/>
  <c r="L59" i="25"/>
  <c r="L40" i="25"/>
  <c r="L48" i="25"/>
  <c r="L61" i="25"/>
  <c r="L49" i="25"/>
  <c r="L50" i="25"/>
  <c r="L51" i="25"/>
  <c r="L52" i="25"/>
  <c r="L54" i="25"/>
  <c r="L55" i="25"/>
  <c r="L56" i="25"/>
  <c r="L37" i="25"/>
  <c r="L58" i="25"/>
  <c r="L39" i="25"/>
  <c r="L60" i="25"/>
  <c r="L41" i="25"/>
  <c r="L42" i="25"/>
  <c r="L62" i="25"/>
  <c r="N33" i="25"/>
  <c r="N53" i="25"/>
  <c r="N34" i="25"/>
  <c r="N54" i="25"/>
  <c r="N55" i="25"/>
  <c r="N36" i="25"/>
  <c r="N56" i="25"/>
  <c r="N37" i="25"/>
  <c r="N57" i="25"/>
  <c r="N42" i="25"/>
  <c r="N63" i="25"/>
  <c r="N47" i="25"/>
  <c r="N49" i="25"/>
  <c r="N50" i="25"/>
  <c r="N35" i="25"/>
  <c r="N51" i="25"/>
  <c r="N38" i="25"/>
  <c r="N58" i="25"/>
  <c r="N40" i="25"/>
  <c r="N52" i="25"/>
  <c r="N39" i="25"/>
  <c r="N59" i="25"/>
  <c r="N60" i="25"/>
  <c r="N41" i="25"/>
  <c r="N61" i="25"/>
  <c r="N62" i="25"/>
  <c r="N43" i="25"/>
  <c r="N44" i="25"/>
  <c r="N45" i="25"/>
  <c r="N46" i="25"/>
  <c r="N48" i="25"/>
  <c r="J33" i="25"/>
  <c r="J53" i="25"/>
  <c r="J34" i="25"/>
  <c r="J54" i="25"/>
  <c r="J35" i="25"/>
  <c r="J55" i="25"/>
  <c r="J36" i="25"/>
  <c r="J56" i="25"/>
  <c r="J37" i="25"/>
  <c r="J57" i="25"/>
  <c r="J43" i="25"/>
  <c r="J44" i="25"/>
  <c r="J46" i="25"/>
  <c r="J50" i="25"/>
  <c r="J62" i="25"/>
  <c r="J45" i="25"/>
  <c r="J47" i="25"/>
  <c r="J38" i="25"/>
  <c r="J58" i="25"/>
  <c r="J40" i="25"/>
  <c r="J39" i="25"/>
  <c r="J59" i="25"/>
  <c r="J60" i="25"/>
  <c r="J41" i="25"/>
  <c r="J61" i="25"/>
  <c r="J42" i="25"/>
  <c r="J63" i="25"/>
  <c r="J48" i="25"/>
  <c r="J49" i="25"/>
  <c r="J51" i="25"/>
  <c r="J52" i="25"/>
  <c r="G255" i="17" a="1"/>
  <c r="G255" i="17" s="1"/>
  <c r="C178" i="17" a="1"/>
  <c r="C178" i="17" s="1"/>
  <c r="C232" i="19" a="1"/>
  <c r="C232" i="19" s="1"/>
  <c r="C225" i="19" a="1"/>
  <c r="C225" i="19" s="1"/>
  <c r="C207" i="19" a="1"/>
  <c r="C207" i="19" s="1"/>
  <c r="C214" i="19" s="1" a="1"/>
  <c r="C214" i="19" s="1"/>
  <c r="F8" i="1"/>
  <c r="C236" i="19" l="1" a="1"/>
  <c r="C236" i="19" s="1"/>
  <c r="C191" i="17" a="1"/>
  <c r="C191" i="17" s="1"/>
  <c r="E442" i="21" l="1" a="1"/>
  <c r="E442" i="21" s="1"/>
  <c r="E466" i="21"/>
  <c r="G445" i="21" l="1"/>
  <c r="G446" i="21"/>
  <c r="G444" i="21"/>
  <c r="G447" i="21" l="1"/>
  <c r="D451" i="21" s="1"/>
  <c r="D450" i="21" l="1"/>
  <c r="D452" i="21" s="1" a="1"/>
  <c r="D452" i="21" s="1"/>
  <c r="D453" i="21" s="1" a="1"/>
  <c r="D453" i="21" s="1"/>
  <c r="B16" i="24" a="1"/>
  <c r="B16" i="24" s="1"/>
  <c r="B15" i="24" a="1"/>
  <c r="B15" i="24" s="1"/>
  <c r="B14" i="24" a="1"/>
  <c r="B14" i="24" s="1"/>
  <c r="B13" i="24" a="1"/>
  <c r="B13" i="24" s="1"/>
  <c r="E62" i="24" l="1" a="1"/>
  <c r="E62" i="24" s="1"/>
  <c r="E75" i="24" a="1"/>
  <c r="E75" i="24" s="1"/>
  <c r="E88" i="24" a="1"/>
  <c r="E88" i="24" s="1"/>
  <c r="C97" i="24" s="1" a="1"/>
  <c r="C97" i="24" s="1"/>
  <c r="D44" i="23" l="1"/>
  <c r="F44" i="23" s="1" a="1"/>
  <c r="F44" i="23" s="1"/>
  <c r="D45" i="23"/>
  <c r="F45" i="23" s="1" a="1"/>
  <c r="F45" i="23" s="1"/>
  <c r="D46" i="23"/>
  <c r="F46" i="23" s="1" a="1"/>
  <c r="F46" i="23" s="1"/>
  <c r="D47" i="23"/>
  <c r="F47" i="23" s="1" a="1"/>
  <c r="F47" i="23" s="1"/>
  <c r="D43" i="23"/>
  <c r="F43" i="23" s="1" a="1"/>
  <c r="F43" i="23" s="1"/>
  <c r="F345" i="19"/>
  <c r="D97" i="21" l="1"/>
  <c r="D96" i="21"/>
  <c r="D95" i="21"/>
  <c r="D94" i="21"/>
  <c r="D93" i="21"/>
  <c r="D92" i="21"/>
  <c r="D91" i="21"/>
  <c r="D90" i="21"/>
  <c r="H116" i="21"/>
  <c r="C85" i="21"/>
  <c r="D59" i="21"/>
  <c r="C18" i="21"/>
  <c r="D61" i="20"/>
  <c r="C59" i="19" a="1"/>
  <c r="C59" i="19" s="1"/>
  <c r="C33" i="19" a="1"/>
  <c r="C33" i="19" s="1"/>
  <c r="H157" i="17" a="1"/>
  <c r="H157" i="17" s="1"/>
  <c r="G128" i="17"/>
  <c r="H57" i="17" a="1"/>
  <c r="H57" i="17" s="1"/>
  <c r="F57" i="17" a="1"/>
  <c r="F57" i="17" s="1"/>
  <c r="C57" i="17" a="1"/>
  <c r="C57" i="17" s="1"/>
  <c r="D92" i="17"/>
  <c r="E91" i="17" s="1"/>
  <c r="C92" i="17"/>
  <c r="E90" i="17"/>
  <c r="G88" i="21" l="1" a="1"/>
  <c r="G88" i="21" s="1"/>
  <c r="G38" i="19" a="1"/>
  <c r="G38" i="19" s="1"/>
  <c r="G33" i="19" a="1"/>
  <c r="G33" i="19" s="1"/>
  <c r="F74" i="19" a="1"/>
  <c r="F74" i="19" s="1"/>
  <c r="C64" i="19" a="1"/>
  <c r="C64" i="19" s="1"/>
  <c r="G64" i="19" s="1" a="1"/>
  <c r="G64" i="19" s="1"/>
  <c r="C69" i="19" s="1" a="1"/>
  <c r="C69" i="19" s="1"/>
  <c r="G69" i="19" s="1" a="1"/>
  <c r="G69" i="19" s="1"/>
  <c r="G61" i="20" a="1"/>
  <c r="G61" i="20" s="1"/>
  <c r="H61" i="20" s="1" a="1"/>
  <c r="H61" i="20" s="1"/>
  <c r="H111" i="21"/>
  <c r="H112" i="21"/>
  <c r="H96" i="21"/>
  <c r="H115" i="21"/>
  <c r="H97" i="21"/>
  <c r="H117" i="21"/>
  <c r="H98" i="21"/>
  <c r="H99" i="21"/>
  <c r="H100" i="21"/>
  <c r="H89" i="21"/>
  <c r="H102" i="21"/>
  <c r="H103" i="21"/>
  <c r="H91" i="21"/>
  <c r="H92" i="21"/>
  <c r="H109" i="21"/>
  <c r="H95" i="21"/>
  <c r="H113" i="21"/>
  <c r="H101" i="21"/>
  <c r="H90" i="21"/>
  <c r="H104" i="21"/>
  <c r="H105" i="21"/>
  <c r="H106" i="21"/>
  <c r="H107" i="21"/>
  <c r="H108" i="21"/>
  <c r="H93" i="21"/>
  <c r="H110" i="21"/>
  <c r="H94" i="21"/>
  <c r="H114" i="21"/>
  <c r="D55" i="21"/>
  <c r="D54" i="21"/>
  <c r="D56" i="21"/>
  <c r="D53" i="21"/>
  <c r="D57" i="21"/>
  <c r="D58" i="21"/>
  <c r="D32" i="21" a="1"/>
  <c r="D32" i="21" s="1"/>
  <c r="D33" i="21" a="1"/>
  <c r="D33" i="21" s="1"/>
  <c r="F22" i="21" a="1"/>
  <c r="F22" i="21" s="1"/>
  <c r="D34" i="21" a="1"/>
  <c r="D34" i="21" s="1"/>
  <c r="D35" i="21" a="1"/>
  <c r="D35" i="21" s="1"/>
  <c r="D37" i="21" a="1"/>
  <c r="D37" i="21" s="1"/>
  <c r="D41" i="21" a="1"/>
  <c r="D41" i="21" s="1"/>
  <c r="D36" i="21" a="1"/>
  <c r="D36" i="21" s="1"/>
  <c r="D40" i="21" a="1"/>
  <c r="D40" i="21" s="1"/>
  <c r="D38" i="21" a="1"/>
  <c r="D38" i="21" s="1"/>
  <c r="D39" i="21" a="1"/>
  <c r="D39" i="21" s="1"/>
  <c r="D31" i="21" a="1"/>
  <c r="D31" i="21" s="1"/>
  <c r="H33" i="20"/>
  <c r="H52" i="20"/>
  <c r="H51" i="20"/>
  <c r="H50" i="20"/>
  <c r="H49" i="20"/>
  <c r="H42" i="20"/>
  <c r="H41" i="20"/>
  <c r="H39" i="20"/>
  <c r="H48" i="20"/>
  <c r="H47" i="20"/>
  <c r="H46" i="20"/>
  <c r="H45" i="20"/>
  <c r="H44" i="20"/>
  <c r="H43" i="20"/>
  <c r="H40" i="20"/>
  <c r="H38" i="20"/>
  <c r="H35" i="20"/>
  <c r="H37" i="20"/>
  <c r="H36" i="20"/>
  <c r="H34" i="20"/>
  <c r="G59" i="19" a="1"/>
  <c r="G59" i="19" s="1"/>
  <c r="H156" i="17"/>
  <c r="I61" i="20" l="1" a="1"/>
  <c r="I61" i="20" s="1"/>
  <c r="D65" i="20" s="1" a="1"/>
  <c r="D65" i="20" s="1"/>
  <c r="C312" i="17"/>
  <c r="C307" i="17" s="1" a="1"/>
  <c r="C307" i="17" s="1"/>
  <c r="D312" i="17" s="1"/>
  <c r="C282" i="17"/>
  <c r="C283" i="17" s="1" a="1"/>
  <c r="C283" i="17" s="1"/>
  <c r="D52" i="21"/>
  <c r="G52" i="21" s="1" a="1"/>
  <c r="G52" i="21" s="1"/>
  <c r="H88" i="21"/>
  <c r="D308" i="17" l="1" a="1"/>
  <c r="D308" i="17" s="1"/>
  <c r="E312" i="17" s="1"/>
  <c r="D283" i="17"/>
  <c r="D284" i="17" s="1" a="1"/>
  <c r="E309" i="17" l="1" a="1"/>
  <c r="E309" i="17" s="1"/>
  <c r="F312" i="17" s="1"/>
  <c r="D284" i="17"/>
  <c r="F310" i="17" l="1" a="1"/>
  <c r="F310" i="17" s="1"/>
  <c r="G312" i="17" s="1"/>
  <c r="E284" i="17"/>
  <c r="E285" i="17" s="1" a="1"/>
  <c r="G311" i="17" l="1" a="1"/>
  <c r="G311" i="17" s="1"/>
  <c r="H312" i="17" s="1"/>
  <c r="E285" i="17"/>
  <c r="F285" i="17" s="1"/>
  <c r="F286" i="17" s="1" a="1"/>
  <c r="F286" i="17" s="1"/>
  <c r="G286" i="17" s="1"/>
  <c r="G287" i="17" l="1" a="1"/>
  <c r="G287" i="17" s="1"/>
  <c r="H287" i="17" s="1"/>
  <c r="C290" i="17" s="1" a="1"/>
  <c r="C290" i="17" s="1"/>
  <c r="C176" i="1" l="1"/>
  <c r="C180"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<sst xmlns="http://schemas.openxmlformats.org/spreadsheetml/2006/main" count="1441" uniqueCount="920">
  <si>
    <t>ARTICLE</t>
  </si>
  <si>
    <t>LAMBDA Functions</t>
  </si>
  <si>
    <t>1) Go to Home &gt; Add-Ins</t>
  </si>
  <si>
    <t>2) Search for "Excel Labs, a Microsoft Garage project" which used to be "Advanced Formula Environment"</t>
  </si>
  <si>
    <t>3) Open the Excel Labs add-in (opens in a side pane)</t>
  </si>
  <si>
    <t>VIDEO</t>
  </si>
  <si>
    <t>☆</t>
  </si>
  <si>
    <t>Built-in MATRIX Functions in Excel</t>
  </si>
  <si>
    <r>
      <rPr>
        <b/>
        <sz val="11"/>
        <color theme="1"/>
        <rFont val="Arial"/>
        <family val="2"/>
        <scheme val="minor"/>
      </rPr>
      <t>A</t>
    </r>
    <r>
      <rPr>
        <vertAlign val="superscript"/>
        <sz val="11"/>
        <color theme="1"/>
        <rFont val="Arial"/>
        <family val="2"/>
        <scheme val="minor"/>
      </rPr>
      <t>-1</t>
    </r>
    <r>
      <rPr>
        <sz val="11"/>
        <color theme="1"/>
        <rFont val="Arial"/>
        <family val="2"/>
        <scheme val="minor"/>
      </rPr>
      <t xml:space="preserve"> =</t>
    </r>
    <r>
      <rPr>
        <b/>
        <sz val="11"/>
        <color theme="1"/>
        <rFont val="Arial"/>
        <family val="2"/>
        <scheme val="minor"/>
      </rPr>
      <t>MINVERSE</t>
    </r>
    <r>
      <rPr>
        <sz val="11"/>
        <color theme="1"/>
        <rFont val="Arial"/>
        <family val="2"/>
        <scheme val="minor"/>
      </rPr>
      <t>(A)</t>
    </r>
  </si>
  <si>
    <r>
      <t>|A| =</t>
    </r>
    <r>
      <rPr>
        <b/>
        <sz val="11"/>
        <color theme="1"/>
        <rFont val="Arial"/>
        <family val="2"/>
        <scheme val="minor"/>
      </rPr>
      <t>MDETERM</t>
    </r>
    <r>
      <rPr>
        <sz val="11"/>
        <color theme="1"/>
        <rFont val="Arial"/>
        <family val="2"/>
        <scheme val="minor"/>
      </rPr>
      <t>(A)</t>
    </r>
  </si>
  <si>
    <r>
      <rPr>
        <b/>
        <sz val="11"/>
        <color theme="1"/>
        <rFont val="Arial"/>
        <family val="2"/>
        <scheme val="minor"/>
      </rPr>
      <t>C</t>
    </r>
    <r>
      <rPr>
        <sz val="11"/>
        <color theme="1"/>
        <rFont val="Arial"/>
        <family val="2"/>
        <scheme val="minor"/>
      </rPr>
      <t xml:space="preserve"> =</t>
    </r>
    <r>
      <rPr>
        <b/>
        <sz val="11"/>
        <color theme="1"/>
        <rFont val="Arial"/>
        <family val="2"/>
        <scheme val="minor"/>
      </rPr>
      <t>MMULT</t>
    </r>
    <r>
      <rPr>
        <sz val="11"/>
        <color theme="1"/>
        <rFont val="Arial"/>
        <family val="2"/>
        <scheme val="minor"/>
      </rPr>
      <t>(</t>
    </r>
    <r>
      <rPr>
        <i/>
        <sz val="11"/>
        <color theme="1"/>
        <rFont val="Arial"/>
        <family val="2"/>
        <scheme val="minor"/>
      </rPr>
      <t>A</t>
    </r>
    <r>
      <rPr>
        <sz val="11"/>
        <color theme="1"/>
        <rFont val="Arial"/>
        <family val="2"/>
        <scheme val="minor"/>
      </rPr>
      <t>,</t>
    </r>
    <r>
      <rPr>
        <i/>
        <sz val="11"/>
        <color theme="1"/>
        <rFont val="Arial"/>
        <family val="2"/>
        <scheme val="minor"/>
      </rPr>
      <t>B</t>
    </r>
    <r>
      <rPr>
        <sz val="11"/>
        <color theme="1"/>
        <rFont val="Arial"/>
        <family val="2"/>
        <scheme val="minor"/>
      </rPr>
      <t>)</t>
    </r>
  </si>
  <si>
    <t>Inverse:</t>
  </si>
  <si>
    <t>Determinant:</t>
  </si>
  <si>
    <t>Matrix Multiplication:</t>
  </si>
  <si>
    <r>
      <rPr>
        <b/>
        <sz val="11"/>
        <color theme="1"/>
        <rFont val="Arial"/>
        <family val="2"/>
        <scheme val="minor"/>
      </rPr>
      <t>A</t>
    </r>
    <r>
      <rPr>
        <vertAlign val="superscript"/>
        <sz val="11"/>
        <color theme="1"/>
        <rFont val="Arial"/>
        <family val="2"/>
        <scheme val="minor"/>
      </rPr>
      <t>T</t>
    </r>
    <r>
      <rPr>
        <sz val="11"/>
        <color theme="1"/>
        <rFont val="Arial"/>
        <family val="2"/>
        <scheme val="minor"/>
      </rPr>
      <t xml:space="preserve"> =</t>
    </r>
    <r>
      <rPr>
        <b/>
        <sz val="11"/>
        <color theme="1"/>
        <rFont val="Arial"/>
        <family val="2"/>
        <scheme val="minor"/>
      </rPr>
      <t>TRANSPOSE</t>
    </r>
    <r>
      <rPr>
        <sz val="11"/>
        <color theme="1"/>
        <rFont val="Arial"/>
        <family val="2"/>
        <scheme val="minor"/>
      </rPr>
      <t>(</t>
    </r>
    <r>
      <rPr>
        <i/>
        <sz val="11"/>
        <color theme="1"/>
        <rFont val="Arial"/>
        <family val="2"/>
        <scheme val="minor"/>
      </rPr>
      <t>A</t>
    </r>
    <r>
      <rPr>
        <sz val="11"/>
        <color theme="1"/>
        <rFont val="Arial"/>
        <family val="2"/>
        <scheme val="minor"/>
      </rPr>
      <t>)</t>
    </r>
  </si>
  <si>
    <t>Transpose:</t>
  </si>
  <si>
    <t>Identify Matrix:</t>
  </si>
  <si>
    <r>
      <rPr>
        <b/>
        <sz val="11"/>
        <color theme="1"/>
        <rFont val="Arial"/>
        <family val="2"/>
        <scheme val="minor"/>
      </rPr>
      <t>I</t>
    </r>
    <r>
      <rPr>
        <sz val="11"/>
        <color theme="1"/>
        <rFont val="Arial"/>
        <family val="2"/>
        <scheme val="minor"/>
      </rPr>
      <t xml:space="preserve"> =</t>
    </r>
    <r>
      <rPr>
        <b/>
        <sz val="11"/>
        <color theme="1"/>
        <rFont val="Arial"/>
        <family val="2"/>
        <scheme val="minor"/>
      </rPr>
      <t>MUNIT</t>
    </r>
    <r>
      <rPr>
        <sz val="11"/>
        <color theme="1"/>
        <rFont val="Arial"/>
        <family val="2"/>
        <scheme val="minor"/>
      </rPr>
      <t>(</t>
    </r>
    <r>
      <rPr>
        <i/>
        <sz val="11"/>
        <color theme="1"/>
        <rFont val="Arial"/>
        <family val="2"/>
        <scheme val="minor"/>
      </rPr>
      <t>n</t>
    </r>
    <r>
      <rPr>
        <sz val="11"/>
        <color theme="1"/>
        <rFont val="Arial"/>
        <family val="2"/>
        <scheme val="minor"/>
      </rPr>
      <t>)</t>
    </r>
  </si>
  <si>
    <t>Ones Vector:</t>
  </si>
  <si>
    <t>Ones Matrix:</t>
  </si>
  <si>
    <t>Some Matrix math functions are already built into Excel. These are all spillable functions now, so do not require pressing CTRL+SHIFT+ENTER to use.</t>
  </si>
  <si>
    <t>Row n:</t>
  </si>
  <si>
    <t>Column n:</t>
  </si>
  <si>
    <r>
      <rPr>
        <b/>
        <sz val="11"/>
        <color theme="1"/>
        <rFont val="Arial"/>
        <family val="2"/>
        <scheme val="minor"/>
      </rPr>
      <t>TAKE</t>
    </r>
    <r>
      <rPr>
        <sz val="11"/>
        <color theme="1"/>
        <rFont val="Arial"/>
        <family val="2"/>
        <scheme val="minor"/>
      </rPr>
      <t>(array,rows,[columns]) :: Take a number of rows/columns from the start or the end of an array.</t>
    </r>
  </si>
  <si>
    <r>
      <rPr>
        <b/>
        <sz val="11"/>
        <color theme="1"/>
        <rFont val="Arial"/>
        <family val="2"/>
        <scheme val="minor"/>
      </rPr>
      <t>DROP</t>
    </r>
    <r>
      <rPr>
        <sz val="11"/>
        <color theme="1"/>
        <rFont val="Arial"/>
        <family val="2"/>
        <scheme val="minor"/>
      </rPr>
      <t>(array,rows,[columns]) :: Remove a number of rows/columns from the start or the end of an array.</t>
    </r>
  </si>
  <si>
    <r>
      <rPr>
        <b/>
        <sz val="11"/>
        <color theme="1"/>
        <rFont val="Arial"/>
        <family val="2"/>
        <scheme val="minor"/>
      </rPr>
      <t>MAKEARRAY</t>
    </r>
    <r>
      <rPr>
        <sz val="11"/>
        <color theme="1"/>
        <rFont val="Arial"/>
        <family val="2"/>
        <scheme val="minor"/>
      </rPr>
      <t>(n_rows,m_cols,LAMBDA(r,c,expression)) :: Uses a LAMBDA to assemble an array of size n x m</t>
    </r>
  </si>
  <si>
    <r>
      <rPr>
        <b/>
        <sz val="11"/>
        <color theme="1"/>
        <rFont val="Arial"/>
        <family val="2"/>
        <scheme val="minor"/>
      </rPr>
      <t>VSTACK</t>
    </r>
    <r>
      <rPr>
        <sz val="11"/>
        <color theme="1"/>
        <rFont val="Arial"/>
        <family val="2"/>
        <scheme val="minor"/>
      </rPr>
      <t>(array1,array2,…) :: Stacks multiple arrays vertically</t>
    </r>
  </si>
  <si>
    <r>
      <rPr>
        <b/>
        <sz val="11"/>
        <color theme="1"/>
        <rFont val="Arial"/>
        <family val="2"/>
        <scheme val="minor"/>
      </rPr>
      <t>HSTACK</t>
    </r>
    <r>
      <rPr>
        <sz val="11"/>
        <color theme="1"/>
        <rFont val="Arial"/>
        <family val="2"/>
        <scheme val="minor"/>
      </rPr>
      <t>(array1,array2,…) :: Stacks multiple arrays horizontally</t>
    </r>
  </si>
  <si>
    <r>
      <rPr>
        <b/>
        <sz val="11"/>
        <color theme="1"/>
        <rFont val="Arial"/>
        <family val="2"/>
        <scheme val="minor"/>
      </rPr>
      <t>EXPAND</t>
    </r>
    <r>
      <rPr>
        <sz val="11"/>
        <color theme="1"/>
        <rFont val="Arial"/>
        <family val="2"/>
        <scheme val="minor"/>
      </rPr>
      <t>(array,rows,[columns],[pad_with]) :: Allows you to increase the size of an array, padded with a value</t>
    </r>
  </si>
  <si>
    <t>Linear Regression:</t>
  </si>
  <si>
    <r>
      <t>=</t>
    </r>
    <r>
      <rPr>
        <b/>
        <sz val="11"/>
        <color theme="1"/>
        <rFont val="Arial"/>
        <family val="2"/>
        <scheme val="minor"/>
      </rPr>
      <t>LINEST</t>
    </r>
    <r>
      <rPr>
        <sz val="11"/>
        <color theme="1"/>
        <rFont val="Arial"/>
        <family val="2"/>
        <scheme val="minor"/>
      </rPr>
      <t>(known_x's,known_y's)</t>
    </r>
  </si>
  <si>
    <t>Copy / Paste Just the Formula You Need</t>
  </si>
  <si>
    <r>
      <rPr>
        <b/>
        <sz val="11"/>
        <color theme="1"/>
        <rFont val="Arial"/>
        <family val="2"/>
        <scheme val="minor"/>
      </rPr>
      <t>CHOOSEROWS</t>
    </r>
    <r>
      <rPr>
        <sz val="11"/>
        <color theme="1"/>
        <rFont val="Arial"/>
        <family val="2"/>
        <scheme val="minor"/>
      </rPr>
      <t>(array,row1,[row2]) :: Returns specific rows from an array (row1 can be an array of row indices)</t>
    </r>
  </si>
  <si>
    <r>
      <rPr>
        <b/>
        <sz val="11"/>
        <color theme="1"/>
        <rFont val="Arial"/>
        <family val="2"/>
        <scheme val="minor"/>
      </rPr>
      <t>CHOOSECOLS</t>
    </r>
    <r>
      <rPr>
        <sz val="11"/>
        <color theme="1"/>
        <rFont val="Arial"/>
        <family val="2"/>
        <scheme val="minor"/>
      </rPr>
      <t>(array,col1,[col2]) :: Like CHOOSEROWS but with columns</t>
    </r>
  </si>
  <si>
    <t>CUSTOM FUNCTIONS:</t>
  </si>
  <si>
    <t>About This Workbook</t>
  </si>
  <si>
    <t>Tips for Navigating this Workbook</t>
  </si>
  <si>
    <t>LAMBDA Function (support.microsoft.com)</t>
  </si>
  <si>
    <t>LICENSE:</t>
  </si>
  <si>
    <t>https://gist.github.com/jonwittwer/13e1c25374ef9de7d708e43db9e0f442</t>
  </si>
  <si>
    <r>
      <rPr>
        <b/>
        <sz val="11"/>
        <color theme="1"/>
        <rFont val="Arial"/>
        <family val="2"/>
        <scheme val="minor"/>
      </rPr>
      <t>UNIQUE</t>
    </r>
    <r>
      <rPr>
        <sz val="11"/>
        <color theme="1"/>
        <rFont val="Arial"/>
        <family val="2"/>
        <scheme val="minor"/>
      </rPr>
      <t>(array) :: Return the unique values within the array</t>
    </r>
  </si>
  <si>
    <r>
      <rPr>
        <b/>
        <sz val="11"/>
        <color theme="1"/>
        <rFont val="Arial"/>
        <family val="2"/>
        <scheme val="minor"/>
      </rPr>
      <t>TOROW</t>
    </r>
    <r>
      <rPr>
        <sz val="11"/>
        <color theme="1"/>
        <rFont val="Arial"/>
        <family val="2"/>
        <scheme val="minor"/>
      </rPr>
      <t xml:space="preserve">(array) , </t>
    </r>
    <r>
      <rPr>
        <b/>
        <sz val="11"/>
        <color theme="1"/>
        <rFont val="Arial"/>
        <family val="2"/>
        <scheme val="minor"/>
      </rPr>
      <t>TOCOL</t>
    </r>
    <r>
      <rPr>
        <sz val="11"/>
        <color theme="1"/>
        <rFont val="Arial"/>
        <family val="2"/>
        <scheme val="minor"/>
      </rPr>
      <t>(array) :: Returns the array as a single row or column</t>
    </r>
  </si>
  <si>
    <r>
      <rPr>
        <b/>
        <sz val="11"/>
        <color theme="1"/>
        <rFont val="Arial"/>
        <family val="2"/>
        <scheme val="minor"/>
      </rPr>
      <t>WRAPROWS</t>
    </r>
    <r>
      <rPr>
        <sz val="11"/>
        <color theme="1"/>
        <rFont val="Arial"/>
        <family val="2"/>
        <scheme val="minor"/>
      </rPr>
      <t xml:space="preserve"> , </t>
    </r>
    <r>
      <rPr>
        <b/>
        <sz val="11"/>
        <color theme="1"/>
        <rFont val="Arial"/>
        <family val="2"/>
        <scheme val="minor"/>
      </rPr>
      <t>WRAPCOLS</t>
    </r>
    <r>
      <rPr>
        <sz val="11"/>
        <color theme="1"/>
        <rFont val="Arial"/>
        <family val="2"/>
        <scheme val="minor"/>
      </rPr>
      <t xml:space="preserve"> :: Takes a single row or column and wraps it into an array</t>
    </r>
  </si>
  <si>
    <r>
      <rPr>
        <b/>
        <sz val="11"/>
        <color theme="1"/>
        <rFont val="Arial"/>
        <family val="2"/>
        <scheme val="minor"/>
      </rPr>
      <t>FILTER, SORT, SORTBY</t>
    </r>
    <r>
      <rPr>
        <sz val="11"/>
        <color theme="1"/>
        <rFont val="Arial"/>
        <family val="2"/>
        <scheme val="minor"/>
      </rPr>
      <t xml:space="preserve"> :: Filters and sorts</t>
    </r>
  </si>
  <si>
    <t>References and Resources</t>
  </si>
  <si>
    <t>MIT License</t>
  </si>
  <si>
    <r>
      <rPr>
        <b/>
        <sz val="11"/>
        <rFont val="Arial"/>
        <family val="2"/>
        <scheme val="minor"/>
      </rPr>
      <t>j</t>
    </r>
    <r>
      <rPr>
        <sz val="11"/>
        <rFont val="Arial"/>
        <family val="2"/>
        <scheme val="minor"/>
      </rPr>
      <t xml:space="preserve"> =</t>
    </r>
    <r>
      <rPr>
        <b/>
        <sz val="11"/>
        <rFont val="Arial"/>
        <family val="2"/>
        <scheme val="minor"/>
      </rPr>
      <t>SEQUENCE</t>
    </r>
    <r>
      <rPr>
        <sz val="11"/>
        <rFont val="Arial"/>
        <family val="2"/>
        <scheme val="minor"/>
      </rPr>
      <t>(</t>
    </r>
    <r>
      <rPr>
        <i/>
        <sz val="11"/>
        <rFont val="Arial"/>
        <family val="2"/>
        <scheme val="minor"/>
      </rPr>
      <t>n</t>
    </r>
    <r>
      <rPr>
        <sz val="11"/>
        <rFont val="Arial"/>
        <family val="2"/>
        <scheme val="minor"/>
      </rPr>
      <t>,,1,0)</t>
    </r>
  </si>
  <si>
    <r>
      <rPr>
        <b/>
        <sz val="11"/>
        <rFont val="Arial"/>
        <family val="2"/>
        <scheme val="minor"/>
      </rPr>
      <t>J</t>
    </r>
    <r>
      <rPr>
        <sz val="11"/>
        <rFont val="Arial"/>
        <family val="2"/>
        <scheme val="minor"/>
      </rPr>
      <t xml:space="preserve"> =</t>
    </r>
    <r>
      <rPr>
        <b/>
        <sz val="11"/>
        <rFont val="Arial"/>
        <family val="2"/>
        <scheme val="minor"/>
      </rPr>
      <t>SEQUENCE</t>
    </r>
    <r>
      <rPr>
        <sz val="11"/>
        <rFont val="Arial"/>
        <family val="2"/>
        <scheme val="minor"/>
      </rPr>
      <t>(</t>
    </r>
    <r>
      <rPr>
        <i/>
        <sz val="11"/>
        <rFont val="Arial"/>
        <family val="2"/>
        <scheme val="minor"/>
      </rPr>
      <t>n</t>
    </r>
    <r>
      <rPr>
        <sz val="11"/>
        <rFont val="Arial"/>
        <family val="2"/>
        <scheme val="minor"/>
      </rPr>
      <t>,</t>
    </r>
    <r>
      <rPr>
        <i/>
        <sz val="11"/>
        <rFont val="Arial"/>
        <family val="2"/>
        <scheme val="minor"/>
      </rPr>
      <t>n</t>
    </r>
    <r>
      <rPr>
        <sz val="11"/>
        <rFont val="Arial"/>
        <family val="2"/>
        <scheme val="minor"/>
      </rPr>
      <t>,1,0)</t>
    </r>
  </si>
  <si>
    <r>
      <t xml:space="preserve"> =</t>
    </r>
    <r>
      <rPr>
        <b/>
        <sz val="11"/>
        <rFont val="Arial"/>
        <family val="2"/>
        <scheme val="minor"/>
      </rPr>
      <t>INDEX</t>
    </r>
    <r>
      <rPr>
        <sz val="11"/>
        <rFont val="Arial"/>
        <family val="2"/>
        <scheme val="minor"/>
      </rPr>
      <t>(</t>
    </r>
    <r>
      <rPr>
        <i/>
        <sz val="11"/>
        <rFont val="Arial"/>
        <family val="2"/>
        <scheme val="minor"/>
      </rPr>
      <t>A</t>
    </r>
    <r>
      <rPr>
        <sz val="11"/>
        <rFont val="Arial"/>
        <family val="2"/>
        <scheme val="minor"/>
      </rPr>
      <t>,,</t>
    </r>
    <r>
      <rPr>
        <i/>
        <sz val="11"/>
        <rFont val="Arial"/>
        <family val="2"/>
        <scheme val="minor"/>
      </rPr>
      <t>m</t>
    </r>
    <r>
      <rPr>
        <sz val="11"/>
        <rFont val="Arial"/>
        <family val="2"/>
        <scheme val="minor"/>
      </rPr>
      <t>)  or  INDEX(A,0,m) or CHOOSECOLS(A,m)</t>
    </r>
  </si>
  <si>
    <r>
      <t xml:space="preserve"> =</t>
    </r>
    <r>
      <rPr>
        <b/>
        <sz val="11"/>
        <rFont val="Arial"/>
        <family val="2"/>
        <scheme val="minor"/>
      </rPr>
      <t>INDEX</t>
    </r>
    <r>
      <rPr>
        <sz val="11"/>
        <rFont val="Arial"/>
        <family val="2"/>
        <scheme val="minor"/>
      </rPr>
      <t>(</t>
    </r>
    <r>
      <rPr>
        <i/>
        <sz val="11"/>
        <rFont val="Arial"/>
        <family val="2"/>
        <scheme val="minor"/>
      </rPr>
      <t>A</t>
    </r>
    <r>
      <rPr>
        <sz val="11"/>
        <rFont val="Arial"/>
        <family val="2"/>
        <scheme val="minor"/>
      </rPr>
      <t>,</t>
    </r>
    <r>
      <rPr>
        <i/>
        <sz val="11"/>
        <rFont val="Arial"/>
        <family val="2"/>
        <scheme val="minor"/>
      </rPr>
      <t>n</t>
    </r>
    <r>
      <rPr>
        <sz val="11"/>
        <rFont val="Arial"/>
        <family val="2"/>
        <scheme val="minor"/>
      </rPr>
      <t>,)  or  INDEX(A,n,0) or CHOOSEROWS(A,n)</t>
    </r>
  </si>
  <si>
    <t>Import Gist from GitHub Using Excel Labs Add-in</t>
  </si>
  <si>
    <r>
      <rPr>
        <b/>
        <sz val="11"/>
        <color theme="1"/>
        <rFont val="Arial"/>
        <family val="2"/>
        <scheme val="minor"/>
      </rPr>
      <t>Step 1</t>
    </r>
    <r>
      <rPr>
        <sz val="11"/>
        <color theme="1"/>
        <rFont val="Arial"/>
        <family val="2"/>
        <scheme val="minor"/>
      </rPr>
      <t>: Install and Open the "Excel Labs" Add-In from Microsoft (aka "Advanced Formula Environment")</t>
    </r>
  </si>
  <si>
    <r>
      <rPr>
        <b/>
        <sz val="11"/>
        <color theme="1"/>
        <rFont val="Arial"/>
        <family val="2"/>
        <scheme val="minor"/>
      </rPr>
      <t>Step 2</t>
    </r>
    <r>
      <rPr>
        <sz val="11"/>
        <color theme="1"/>
        <rFont val="Arial"/>
        <family val="2"/>
        <scheme val="minor"/>
      </rPr>
      <t>: Load the following GitHub Gist URL</t>
    </r>
  </si>
  <si>
    <t>https://www.vertex42.com/lambda/mit.html</t>
  </si>
  <si>
    <t>About the MIT License</t>
  </si>
  <si>
    <t>https://www.vertex42.com/lambda/templates.html</t>
  </si>
  <si>
    <t>Copyright (c) Vertex42 LLC, https://www.vertex42.com/</t>
  </si>
  <si>
    <t>Permission is hereby granted, free of charge, to any person obtaining a copy</t>
  </si>
  <si>
    <t>of this software and associated documentation files (the "Software"), to deal</t>
  </si>
  <si>
    <t>in the Software without restriction, including without limitation the rights</t>
  </si>
  <si>
    <t>to use, copy, modify, merge, publish, distribute, sublicense, and/or sell</t>
  </si>
  <si>
    <t>copies of the Software, and to permit persons to whom the Software is</t>
  </si>
  <si>
    <t>furnished to do so, subject to the following conditions:</t>
  </si>
  <si>
    <t>The above copyright notice and this permission notice shall be included in all</t>
  </si>
  <si>
    <t>copies or substantial portions of the Software.</t>
  </si>
  <si>
    <t>THE SOFTWARE IS PROVIDED "AS IS", WITHOUT WARRANTY OF ANY KIND, EXPRESS OR</t>
  </si>
  <si>
    <t>IMPLIED, INCLUDING BUT NOT LIMITED TO THE WARRANTIES OF MERCHANTABILITY,</t>
  </si>
  <si>
    <t>FITNESS FOR A PARTICULAR PURPOSE AND NONINFRINGEMENT. IN NO EVENT SHALL THE</t>
  </si>
  <si>
    <t>AUTHORS OR COPYRIGHT HOLDERS BE LIABLE FOR ANY CLAIM, DAMAGES OR OTHER</t>
  </si>
  <si>
    <t>LIABILITY, WHETHER IN AN ACTION OF CONTRACT, TORT OR OTHERWISE, ARISING FROM,</t>
  </si>
  <si>
    <t>OUT OF OR IN CONNECTION WITH THE SOFTWARE OR THE USE OR OTHER DEALINGS IN THE</t>
  </si>
  <si>
    <t>SOFTWARE.</t>
  </si>
  <si>
    <t>LAMBDA Library License</t>
  </si>
  <si>
    <t>Learn more about this license</t>
  </si>
  <si>
    <t>To share this spreadsheet, please share only the following URL:</t>
  </si>
  <si>
    <t xml:space="preserve">The "MIT License" below applies to the Named Functions found in this spreadsheet, but this </t>
  </si>
  <si>
    <t>spreadsheet and the examples found in this spreadsheet are governed by standard copyright.</t>
  </si>
  <si>
    <t>doc</t>
  </si>
  <si>
    <t>https://www.vertex42.com/lambda/</t>
  </si>
  <si>
    <t>Learn about LAMBDAs and this Library</t>
  </si>
  <si>
    <t>Dot Product:</t>
  </si>
  <si>
    <r>
      <t>=</t>
    </r>
    <r>
      <rPr>
        <b/>
        <sz val="11"/>
        <color theme="1"/>
        <rFont val="Arial"/>
        <family val="2"/>
        <scheme val="minor"/>
      </rPr>
      <t>SUMPRODUCT</t>
    </r>
    <r>
      <rPr>
        <sz val="11"/>
        <color theme="1"/>
        <rFont val="Arial"/>
        <family val="2"/>
        <scheme val="minor"/>
      </rPr>
      <t>(vector1,vector2)</t>
    </r>
  </si>
  <si>
    <r>
      <rPr>
        <b/>
        <sz val="11"/>
        <color theme="1"/>
        <rFont val="Arial"/>
        <family val="2"/>
        <scheme val="minor"/>
      </rPr>
      <t>SEQUENCE</t>
    </r>
    <r>
      <rPr>
        <sz val="11"/>
        <color theme="1"/>
        <rFont val="Arial"/>
        <family val="2"/>
        <scheme val="minor"/>
      </rPr>
      <t>(rows,[columns],[start],[step]) :: Uses a LAMBDA to assemble an array of size n x m</t>
    </r>
  </si>
  <si>
    <t>Built-in Array Functions in Excel</t>
  </si>
  <si>
    <t>This workbook contains a collection of LAMBDA functions from the LAMBDA Library on Vertex42.com. See the License page below for information about using and sharing these functions.</t>
  </si>
  <si>
    <t>About This Worksheet and ©</t>
  </si>
  <si>
    <t>This worksheet contains examples of custom functions from the LAMBDA Library. Think of this worksheet like a book. You may use the ideas and techniques and formulas explained here, but you may not reproduce this worksheet or copy substantial portions from it, just as you would not do so with a book. Thank you. - Jon Wittwer</t>
  </si>
  <si>
    <t>https://www.vertex42.com/lambda/diag.html</t>
  </si>
  <si>
    <t>When array is a square matrix</t>
  </si>
  <si>
    <t>A</t>
  </si>
  <si>
    <t>B</t>
  </si>
  <si>
    <t>C</t>
  </si>
  <si>
    <t>Vector</t>
  </si>
  <si>
    <t>When array is a vector</t>
  </si>
  <si>
    <t>Array</t>
  </si>
  <si>
    <t>https://www.vertex42.com/lambda/trace.html</t>
  </si>
  <si>
    <t>https://www.vertex42.com/lambda/issymmetric.html</t>
  </si>
  <si>
    <t>RESULT</t>
  </si>
  <si>
    <t>https://www.vertex42.com/lambda/rowsum-and-colsum.html</t>
  </si>
  <si>
    <t>Column 1</t>
  </si>
  <si>
    <t>Column 2</t>
  </si>
  <si>
    <t>Column 3</t>
  </si>
  <si>
    <t>ROWSUM</t>
  </si>
  <si>
    <t>Row 1</t>
  </si>
  <si>
    <t>Row 2</t>
  </si>
  <si>
    <t>Row 3</t>
  </si>
  <si>
    <t>Row 4</t>
  </si>
  <si>
    <t>COLSUM</t>
  </si>
  <si>
    <t>https://www.vertex42.com/lambda/magnitude.html</t>
  </si>
  <si>
    <t>Matrix</t>
  </si>
  <si>
    <t>MAGNITUDE</t>
  </si>
  <si>
    <t>https://www.vertex42.com/lambda/ones-and-zeros.html</t>
  </si>
  <si>
    <t>n</t>
  </si>
  <si>
    <t>m</t>
  </si>
  <si>
    <t>Using SEQUENCE only</t>
  </si>
  <si>
    <t>SEQUENCE</t>
  </si>
  <si>
    <t>DIAG</t>
  </si>
  <si>
    <t>TRACE</t>
  </si>
  <si>
    <t>ISSYMMETRIC</t>
  </si>
  <si>
    <t>ONES(array)</t>
  </si>
  <si>
    <t>ZEROS(array)</t>
  </si>
  <si>
    <t>LAMBDA Function Examples</t>
  </si>
  <si>
    <t>https://www.vertex42.com/lambda/dot.html</t>
  </si>
  <si>
    <t>X</t>
  </si>
  <si>
    <t>Y</t>
  </si>
  <si>
    <t>a</t>
  </si>
  <si>
    <t>b</t>
  </si>
  <si>
    <t>SUMPRODUCT</t>
  </si>
  <si>
    <t>DOT(a,b)</t>
  </si>
  <si>
    <t>DOT(A,B)</t>
  </si>
  <si>
    <t>https://www.vertex42.com/lambda/cross.html</t>
  </si>
  <si>
    <t>A⨯B</t>
  </si>
  <si>
    <t>B⨯A</t>
  </si>
  <si>
    <t>https://www.vertex42.com/lambda/pascal.html</t>
  </si>
  <si>
    <t>type</t>
  </si>
  <si>
    <t>MDETERM</t>
  </si>
  <si>
    <t>PASCAL</t>
  </si>
  <si>
    <t>(Blank, L, or U)</t>
  </si>
  <si>
    <t>https://www.vertex42.com/lambda/hess.html</t>
  </si>
  <si>
    <t>Example 1 (from youtube)</t>
  </si>
  <si>
    <t>https://www.youtube.com/watch?v=t_bj3V9Ubac</t>
  </si>
  <si>
    <t>HESS</t>
  </si>
  <si>
    <t>Example 2 (from mathworks.com)</t>
  </si>
  <si>
    <t>https://www.mathworks.com/help/matlab/ref/hess.html</t>
  </si>
  <si>
    <t>https://www.vertex42.com/lambda/flip.html</t>
  </si>
  <si>
    <t xml:space="preserve">  FLIPUD or FLIP(array,1)</t>
  </si>
  <si>
    <t xml:space="preserve">  FLIPLR or FLIP(array,2)</t>
  </si>
  <si>
    <t>Array 2</t>
  </si>
  <si>
    <t>FLIPUD</t>
  </si>
  <si>
    <t>FLIPLR</t>
  </si>
  <si>
    <t>FLIP</t>
  </si>
  <si>
    <t>Array 3</t>
  </si>
  <si>
    <t>https://www.vertex42.com/lambda/rot90.html</t>
  </si>
  <si>
    <t>TRANSPOSE</t>
  </si>
  <si>
    <t>ROT90 x 1</t>
  </si>
  <si>
    <t>ROT90 x 2</t>
  </si>
  <si>
    <t>ROT90 x 3</t>
  </si>
  <si>
    <t>ROT90 x 4</t>
  </si>
  <si>
    <t>ROT90, n</t>
  </si>
  <si>
    <t>https://www.vertex42.com/lambda/circshift.html</t>
  </si>
  <si>
    <t>dimension</t>
  </si>
  <si>
    <t>https://www.vertex42.com/lambda/reparray.html</t>
  </si>
  <si>
    <t>REPARRAY</t>
  </si>
  <si>
    <t>https://www.vertex42.com/lambda/repelem.html</t>
  </si>
  <si>
    <t>REPELEM</t>
  </si>
  <si>
    <t>https://www.vertex42.com/lambda/combinations.html</t>
  </si>
  <si>
    <t>Array 1</t>
  </si>
  <si>
    <t>q</t>
  </si>
  <si>
    <t>w</t>
  </si>
  <si>
    <t>COMBINATIONS(arr1,arr2)</t>
  </si>
  <si>
    <t>COMBINATIONS(step1,array3)</t>
  </si>
  <si>
    <r>
      <rPr>
        <i/>
        <sz val="11"/>
        <color theme="1"/>
        <rFont val="Arial"/>
        <family val="2"/>
        <scheme val="minor"/>
      </rPr>
      <t>step1</t>
    </r>
  </si>
  <si>
    <t>step2</t>
  </si>
  <si>
    <t>start</t>
  </si>
  <si>
    <t>end</t>
  </si>
  <si>
    <t>H</t>
  </si>
  <si>
    <t>⚀</t>
  </si>
  <si>
    <t>⚅</t>
  </si>
  <si>
    <t>https://www.vertex42.com/lambda/se.html</t>
  </si>
  <si>
    <t>https://www.vertex42.com/lambda/linspace.html</t>
  </si>
  <si>
    <t>ISUNIFORM</t>
  </si>
  <si>
    <t>LOGSPACE</t>
  </si>
  <si>
    <t>https://www.vertex42.com/lambda/logspace.html</t>
  </si>
  <si>
    <t>LOG(X)</t>
  </si>
  <si>
    <t>https://www.vertex42.com/lambda/meshgrid.html</t>
  </si>
  <si>
    <t>MESHGRID</t>
  </si>
  <si>
    <t xml:space="preserve">x : </t>
  </si>
  <si>
    <t xml:space="preserve">y : </t>
  </si>
  <si>
    <t>Return "X"</t>
  </si>
  <si>
    <t>Return "Y"</t>
  </si>
  <si>
    <t>https://www.vertex42.com/lambda/rescale.html</t>
  </si>
  <si>
    <t>Student</t>
  </si>
  <si>
    <t>Score</t>
  </si>
  <si>
    <t>lower</t>
  </si>
  <si>
    <t>RESCALE</t>
  </si>
  <si>
    <t>upper</t>
  </si>
  <si>
    <t>name1</t>
  </si>
  <si>
    <t>name2</t>
  </si>
  <si>
    <t>name3</t>
  </si>
  <si>
    <t>name4</t>
  </si>
  <si>
    <t>name5</t>
  </si>
  <si>
    <t>https://www.vertex42.com/lambda/polyval.html</t>
  </si>
  <si>
    <t>https://www.vertex42.com/lambda/polyfit.html</t>
  </si>
  <si>
    <t>degree, n :</t>
  </si>
  <si>
    <r>
      <t>β</t>
    </r>
    <r>
      <rPr>
        <vertAlign val="subscript"/>
        <sz val="10"/>
        <color theme="0"/>
        <rFont val="Arial"/>
        <family val="2"/>
        <scheme val="minor"/>
      </rPr>
      <t>n</t>
    </r>
  </si>
  <si>
    <r>
      <t>β</t>
    </r>
    <r>
      <rPr>
        <vertAlign val="subscript"/>
        <sz val="10"/>
        <color theme="0"/>
        <rFont val="Arial"/>
        <family val="2"/>
        <scheme val="minor"/>
      </rPr>
      <t>n-1</t>
    </r>
  </si>
  <si>
    <r>
      <t>β</t>
    </r>
    <r>
      <rPr>
        <vertAlign val="subscript"/>
        <sz val="10"/>
        <color theme="0"/>
        <rFont val="Arial"/>
        <family val="2"/>
        <scheme val="minor"/>
      </rPr>
      <t>n-2</t>
    </r>
  </si>
  <si>
    <r>
      <t>β</t>
    </r>
    <r>
      <rPr>
        <vertAlign val="subscript"/>
        <sz val="10"/>
        <color theme="0"/>
        <rFont val="Arial"/>
        <family val="2"/>
        <scheme val="minor"/>
      </rPr>
      <t>n-3</t>
    </r>
  </si>
  <si>
    <r>
      <t>β</t>
    </r>
    <r>
      <rPr>
        <vertAlign val="subscript"/>
        <sz val="10"/>
        <color theme="0"/>
        <rFont val="Arial"/>
        <family val="2"/>
        <scheme val="minor"/>
      </rPr>
      <t>n-4</t>
    </r>
  </si>
  <si>
    <t xml:space="preserve">Coeffs : </t>
  </si>
  <si>
    <t>known xs</t>
  </si>
  <si>
    <t>known ys</t>
  </si>
  <si>
    <t xml:space="preserve">p(x) : </t>
  </si>
  <si>
    <t>given x</t>
  </si>
  <si>
    <t>p(x)</t>
  </si>
  <si>
    <t>https://www.vertex42.com/lambda/linterp.html</t>
  </si>
  <si>
    <t>LINTERP</t>
  </si>
  <si>
    <t>https://www.vertex42.com/lambda/pinterp.html</t>
  </si>
  <si>
    <t>PINTERP</t>
  </si>
  <si>
    <t>COS(x)</t>
  </si>
  <si>
    <t>https://www.vertex42.com/lambda/polyder.html</t>
  </si>
  <si>
    <t>coeffs</t>
  </si>
  <si>
    <t>POLYDER</t>
  </si>
  <si>
    <r>
      <t>β</t>
    </r>
    <r>
      <rPr>
        <vertAlign val="subscript"/>
        <sz val="11"/>
        <color theme="0"/>
        <rFont val="Arial"/>
        <family val="2"/>
        <scheme val="minor"/>
      </rPr>
      <t>5</t>
    </r>
  </si>
  <si>
    <r>
      <t>β</t>
    </r>
    <r>
      <rPr>
        <vertAlign val="subscript"/>
        <sz val="11"/>
        <color theme="0"/>
        <rFont val="Arial"/>
        <family val="2"/>
        <scheme val="minor"/>
      </rPr>
      <t>4</t>
    </r>
  </si>
  <si>
    <r>
      <t>β</t>
    </r>
    <r>
      <rPr>
        <vertAlign val="subscript"/>
        <sz val="11"/>
        <color theme="0"/>
        <rFont val="Arial"/>
        <family val="2"/>
        <scheme val="minor"/>
      </rPr>
      <t>3</t>
    </r>
  </si>
  <si>
    <r>
      <t>β</t>
    </r>
    <r>
      <rPr>
        <vertAlign val="subscript"/>
        <sz val="11"/>
        <color theme="0"/>
        <rFont val="Arial"/>
        <family val="2"/>
        <scheme val="minor"/>
      </rPr>
      <t>2</t>
    </r>
  </si>
  <si>
    <r>
      <t>β</t>
    </r>
    <r>
      <rPr>
        <vertAlign val="subscript"/>
        <sz val="11"/>
        <color theme="0"/>
        <rFont val="Arial"/>
        <family val="2"/>
        <scheme val="minor"/>
      </rPr>
      <t>1</t>
    </r>
  </si>
  <si>
    <r>
      <t xml:space="preserve"> β</t>
    </r>
    <r>
      <rPr>
        <vertAlign val="subscript"/>
        <sz val="11"/>
        <color theme="0"/>
        <rFont val="Arial"/>
        <family val="2"/>
        <scheme val="minor"/>
      </rPr>
      <t>0</t>
    </r>
  </si>
  <si>
    <r>
      <t>p</t>
    </r>
    <r>
      <rPr>
        <b/>
        <vertAlign val="subscript"/>
        <sz val="11"/>
        <color theme="1"/>
        <rFont val="Arial"/>
        <family val="2"/>
        <scheme val="minor"/>
      </rPr>
      <t>1</t>
    </r>
    <r>
      <rPr>
        <b/>
        <sz val="11"/>
        <color theme="1"/>
        <rFont val="Arial"/>
        <family val="2"/>
        <scheme val="minor"/>
      </rPr>
      <t>(x)</t>
    </r>
  </si>
  <si>
    <r>
      <t>p</t>
    </r>
    <r>
      <rPr>
        <b/>
        <vertAlign val="subscript"/>
        <sz val="11"/>
        <color theme="1"/>
        <rFont val="Arial"/>
        <family val="2"/>
        <scheme val="minor"/>
      </rPr>
      <t>2</t>
    </r>
    <r>
      <rPr>
        <b/>
        <sz val="11"/>
        <color theme="1"/>
        <rFont val="Arial"/>
        <family val="2"/>
        <scheme val="minor"/>
      </rPr>
      <t>(x)</t>
    </r>
  </si>
  <si>
    <r>
      <t>p</t>
    </r>
    <r>
      <rPr>
        <b/>
        <vertAlign val="subscript"/>
        <sz val="11"/>
        <color theme="1"/>
        <rFont val="Arial"/>
        <family val="2"/>
        <scheme val="minor"/>
      </rPr>
      <t>3</t>
    </r>
    <r>
      <rPr>
        <b/>
        <sz val="11"/>
        <color theme="1"/>
        <rFont val="Arial"/>
        <family val="2"/>
        <scheme val="minor"/>
      </rPr>
      <t>(x)</t>
    </r>
  </si>
  <si>
    <r>
      <t>p</t>
    </r>
    <r>
      <rPr>
        <b/>
        <vertAlign val="subscript"/>
        <sz val="11"/>
        <color theme="1"/>
        <rFont val="Arial"/>
        <family val="2"/>
        <scheme val="minor"/>
      </rPr>
      <t>4</t>
    </r>
    <r>
      <rPr>
        <b/>
        <sz val="11"/>
        <color theme="1"/>
        <rFont val="Arial"/>
        <family val="2"/>
        <scheme val="minor"/>
      </rPr>
      <t>(x)</t>
    </r>
  </si>
  <si>
    <r>
      <t>p</t>
    </r>
    <r>
      <rPr>
        <b/>
        <vertAlign val="subscript"/>
        <sz val="11"/>
        <color theme="1"/>
        <rFont val="Arial"/>
        <family val="2"/>
        <scheme val="minor"/>
      </rPr>
      <t>1</t>
    </r>
    <r>
      <rPr>
        <b/>
        <sz val="11"/>
        <color theme="1"/>
        <rFont val="Arial"/>
        <family val="2"/>
        <scheme val="minor"/>
      </rPr>
      <t>'(x)</t>
    </r>
  </si>
  <si>
    <r>
      <t>p</t>
    </r>
    <r>
      <rPr>
        <b/>
        <vertAlign val="subscript"/>
        <sz val="11"/>
        <color theme="1"/>
        <rFont val="Arial"/>
        <family val="2"/>
        <scheme val="minor"/>
      </rPr>
      <t>2</t>
    </r>
    <r>
      <rPr>
        <b/>
        <sz val="11"/>
        <color theme="1"/>
        <rFont val="Arial"/>
        <family val="2"/>
        <scheme val="minor"/>
      </rPr>
      <t>'(x)</t>
    </r>
  </si>
  <si>
    <r>
      <t>p</t>
    </r>
    <r>
      <rPr>
        <b/>
        <vertAlign val="subscript"/>
        <sz val="11"/>
        <color theme="1"/>
        <rFont val="Arial"/>
        <family val="2"/>
        <scheme val="minor"/>
      </rPr>
      <t>3</t>
    </r>
    <r>
      <rPr>
        <b/>
        <sz val="11"/>
        <color theme="1"/>
        <rFont val="Arial"/>
        <family val="2"/>
        <scheme val="minor"/>
      </rPr>
      <t>'(x)</t>
    </r>
  </si>
  <si>
    <r>
      <t>p</t>
    </r>
    <r>
      <rPr>
        <b/>
        <vertAlign val="subscript"/>
        <sz val="11"/>
        <color theme="1"/>
        <rFont val="Arial"/>
        <family val="2"/>
        <scheme val="minor"/>
      </rPr>
      <t>4</t>
    </r>
    <r>
      <rPr>
        <b/>
        <sz val="11"/>
        <color theme="1"/>
        <rFont val="Arial"/>
        <family val="2"/>
        <scheme val="minor"/>
      </rPr>
      <t>'(x)</t>
    </r>
  </si>
  <si>
    <t>Rows of polynomial coefficients (decreasing power)</t>
  </si>
  <si>
    <t>VERSION:</t>
  </si>
  <si>
    <t>https://www.vertex42.com/lambda/polymult.html</t>
  </si>
  <si>
    <t>a :</t>
  </si>
  <si>
    <t>b :</t>
  </si>
  <si>
    <t>POLYMULT</t>
  </si>
  <si>
    <t>https://www.vertex42.com/lambda/polycompan.html</t>
  </si>
  <si>
    <t>(x+1)(x-4)(x+2)</t>
  </si>
  <si>
    <t>https://www.vertex42.com/lambda/qr.html</t>
  </si>
  <si>
    <t>https://en.wikipedia.org/wiki/QR_decomposition</t>
  </si>
  <si>
    <r>
      <t>a</t>
    </r>
    <r>
      <rPr>
        <b/>
        <vertAlign val="subscript"/>
        <sz val="11"/>
        <color theme="0"/>
        <rFont val="Arial"/>
        <family val="2"/>
        <scheme val="minor"/>
      </rPr>
      <t>1</t>
    </r>
  </si>
  <si>
    <r>
      <t>a</t>
    </r>
    <r>
      <rPr>
        <b/>
        <vertAlign val="subscript"/>
        <sz val="11"/>
        <color theme="0"/>
        <rFont val="Arial"/>
        <family val="2"/>
        <scheme val="minor"/>
      </rPr>
      <t>2</t>
    </r>
  </si>
  <si>
    <r>
      <t>a</t>
    </r>
    <r>
      <rPr>
        <b/>
        <vertAlign val="subscript"/>
        <sz val="11"/>
        <color theme="0"/>
        <rFont val="Arial"/>
        <family val="2"/>
        <scheme val="minor"/>
      </rPr>
      <t>3</t>
    </r>
  </si>
  <si>
    <t xml:space="preserve">Q = </t>
  </si>
  <si>
    <t xml:space="preserve">R = </t>
  </si>
  <si>
    <t>https://www.mathworks.com/help/matlab/ref/qr.html</t>
  </si>
  <si>
    <t>a1</t>
  </si>
  <si>
    <t>a2</t>
  </si>
  <si>
    <t>a3</t>
  </si>
  <si>
    <t>a4</t>
  </si>
  <si>
    <t>a5</t>
  </si>
  <si>
    <t>Example (from mathworks.com)</t>
  </si>
  <si>
    <t>Example (from wikipedia.org)</t>
  </si>
  <si>
    <t>https://www.vertex42.com/lambda/cholesky.html</t>
  </si>
  <si>
    <t xml:space="preserve">A </t>
  </si>
  <si>
    <t>j = 1</t>
  </si>
  <si>
    <t>j = 2</t>
  </si>
  <si>
    <t>j = 3</t>
  </si>
  <si>
    <t>j = 4</t>
  </si>
  <si>
    <t>j = 5</t>
  </si>
  <si>
    <t>j = 6</t>
  </si>
  <si>
    <t xml:space="preserve">i = 1 </t>
  </si>
  <si>
    <t xml:space="preserve">i = 2 </t>
  </si>
  <si>
    <t xml:space="preserve">i = 3 </t>
  </si>
  <si>
    <t xml:space="preserve">i = 4 </t>
  </si>
  <si>
    <t xml:space="preserve">i = 5 </t>
  </si>
  <si>
    <t xml:space="preserve">i = 6 </t>
  </si>
  <si>
    <t>CHOLESKY</t>
  </si>
  <si>
    <r>
      <t>LL</t>
    </r>
    <r>
      <rPr>
        <vertAlign val="superscript"/>
        <sz val="11"/>
        <color theme="0"/>
        <rFont val="Arial"/>
        <family val="2"/>
        <scheme val="minor"/>
      </rPr>
      <t>T</t>
    </r>
  </si>
  <si>
    <t>SYMMETRIC</t>
  </si>
  <si>
    <r>
      <rPr>
        <b/>
        <sz val="11"/>
        <color theme="1"/>
        <rFont val="Arial"/>
        <family val="2"/>
        <scheme val="minor"/>
      </rPr>
      <t>CHOLESKY</t>
    </r>
    <r>
      <rPr>
        <sz val="11"/>
        <color theme="1"/>
        <rFont val="Arial"/>
        <family val="2"/>
        <scheme val="minor"/>
      </rPr>
      <t xml:space="preserve"> Decomposition</t>
    </r>
  </si>
  <si>
    <r>
      <rPr>
        <b/>
        <sz val="11"/>
        <color theme="1"/>
        <rFont val="Arial"/>
        <family val="2"/>
        <scheme val="minor"/>
      </rPr>
      <t xml:space="preserve">LDL </t>
    </r>
    <r>
      <rPr>
        <sz val="11"/>
        <color theme="1"/>
        <rFont val="Arial"/>
        <family val="2"/>
        <scheme val="minor"/>
      </rPr>
      <t>Decomposition</t>
    </r>
  </si>
  <si>
    <t xml:space="preserve">L= </t>
  </si>
  <si>
    <t>diag(D)=</t>
  </si>
  <si>
    <t>https://www.vertex42.com/lambda/combinr.html</t>
  </si>
  <si>
    <t>COMBINR</t>
  </si>
  <si>
    <t>3♠</t>
  </si>
  <si>
    <t>Q♣</t>
  </si>
  <si>
    <t>10♦</t>
  </si>
  <si>
    <t>9♥</t>
  </si>
  <si>
    <t>J♦</t>
  </si>
  <si>
    <t>ONES(m,n)</t>
  </si>
  <si>
    <t>ZEROS(m,n)</t>
  </si>
  <si>
    <t>ONES(m)</t>
  </si>
  <si>
    <t>ZEROS(m)</t>
  </si>
  <si>
    <t>k</t>
  </si>
  <si>
    <t>COMBIN</t>
  </si>
  <si>
    <t>https://www.vertex42.com/lambda/sfround.html</t>
  </si>
  <si>
    <t>value</t>
  </si>
  <si>
    <t>sig_figs</t>
  </si>
  <si>
    <t>round_opt</t>
  </si>
  <si>
    <t>SFROUND</t>
  </si>
  <si>
    <r>
      <rPr>
        <i/>
        <sz val="11"/>
        <color theme="1"/>
        <rFont val="Arial"/>
        <family val="2"/>
        <scheme val="minor"/>
      </rPr>
      <t>round_opt</t>
    </r>
    <r>
      <rPr>
        <sz val="11"/>
        <color theme="1"/>
        <rFont val="Arial"/>
        <family val="2"/>
        <scheme val="minor"/>
      </rPr>
      <t>: 0 (normal), -1 (round down), 1 (round up)</t>
    </r>
  </si>
  <si>
    <t>https://www.vertex42.com/lambda/roman2int.html</t>
  </si>
  <si>
    <t>Number</t>
  </si>
  <si>
    <t>Roman</t>
  </si>
  <si>
    <t>ROMAN2INT</t>
  </si>
  <si>
    <t>https://www.vertex42.com/lambda/text2array.html</t>
  </si>
  <si>
    <t>TEXT2ARRAY</t>
  </si>
  <si>
    <t>Text</t>
  </si>
  <si>
    <t>Dimension</t>
  </si>
  <si>
    <t>Hello World</t>
  </si>
  <si>
    <t>https://www.vertex42.com/lambda/countchar.html</t>
  </si>
  <si>
    <t>within_text</t>
  </si>
  <si>
    <t>char</t>
  </si>
  <si>
    <t>Allen Allred</t>
  </si>
  <si>
    <t>ll</t>
  </si>
  <si>
    <t>(000) 000-0000</t>
  </si>
  <si>
    <t>COUNTCHAR</t>
  </si>
  <si>
    <t>o</t>
  </si>
  <si>
    <t>Version Notes</t>
  </si>
  <si>
    <t>v 1.0.1</t>
  </si>
  <si>
    <t>Updated COMBINR. Changed TEXT2COL to TEXT2ARRAY</t>
  </si>
  <si>
    <t>Documentation &amp; examples added for SFROUND, ROMAN2INT, TEXT2ARRAY, COUNTCHAR</t>
  </si>
  <si>
    <t>https://www.vertex42.com/lambda/ppval.html</t>
  </si>
  <si>
    <t>Data structure for a piecewise polynomial</t>
  </si>
  <si>
    <t>breaks</t>
  </si>
  <si>
    <t>rows of coefficients (decreasing power)</t>
  </si>
  <si>
    <r>
      <t xml:space="preserve"> p</t>
    </r>
    <r>
      <rPr>
        <vertAlign val="subscript"/>
        <sz val="11"/>
        <color theme="1"/>
        <rFont val="Arial"/>
        <family val="2"/>
        <scheme val="minor"/>
      </rPr>
      <t>1</t>
    </r>
    <r>
      <rPr>
        <sz val="11"/>
        <color theme="1"/>
        <rFont val="Arial"/>
        <family val="2"/>
        <scheme val="minor"/>
      </rPr>
      <t>(x-0) = 2x</t>
    </r>
    <r>
      <rPr>
        <vertAlign val="superscript"/>
        <sz val="11"/>
        <color theme="1"/>
        <rFont val="Arial"/>
        <family val="2"/>
        <scheme val="minor"/>
      </rPr>
      <t>3</t>
    </r>
    <r>
      <rPr>
        <sz val="11"/>
        <color theme="1"/>
        <rFont val="Arial"/>
        <family val="2"/>
        <scheme val="minor"/>
      </rPr>
      <t>-x</t>
    </r>
    <r>
      <rPr>
        <vertAlign val="superscript"/>
        <sz val="11"/>
        <color theme="1"/>
        <rFont val="Arial"/>
        <family val="2"/>
        <scheme val="minor"/>
      </rPr>
      <t>2</t>
    </r>
    <r>
      <rPr>
        <sz val="11"/>
        <color theme="1"/>
        <rFont val="Arial"/>
        <family val="2"/>
        <scheme val="minor"/>
      </rPr>
      <t>+x+10</t>
    </r>
  </si>
  <si>
    <r>
      <t xml:space="preserve"> p</t>
    </r>
    <r>
      <rPr>
        <vertAlign val="subscript"/>
        <sz val="11"/>
        <color theme="1"/>
        <rFont val="Arial"/>
        <family val="2"/>
        <scheme val="minor"/>
      </rPr>
      <t>2</t>
    </r>
    <r>
      <rPr>
        <sz val="11"/>
        <color theme="1"/>
        <rFont val="Arial"/>
        <family val="2"/>
        <scheme val="minor"/>
      </rPr>
      <t>(x-4) = -5x</t>
    </r>
    <r>
      <rPr>
        <vertAlign val="superscript"/>
        <sz val="11"/>
        <color theme="1"/>
        <rFont val="Arial"/>
        <family val="2"/>
        <scheme val="minor"/>
      </rPr>
      <t>2</t>
    </r>
    <r>
      <rPr>
        <sz val="11"/>
        <color theme="1"/>
        <rFont val="Arial"/>
        <family val="2"/>
        <scheme val="minor"/>
      </rPr>
      <t>+126</t>
    </r>
  </si>
  <si>
    <r>
      <t xml:space="preserve"> p</t>
    </r>
    <r>
      <rPr>
        <vertAlign val="subscript"/>
        <sz val="11"/>
        <color theme="1"/>
        <rFont val="Arial"/>
        <family val="2"/>
        <scheme val="minor"/>
      </rPr>
      <t>3</t>
    </r>
    <r>
      <rPr>
        <sz val="11"/>
        <color theme="1"/>
        <rFont val="Arial"/>
        <family val="2"/>
        <scheme val="minor"/>
      </rPr>
      <t>(x-10) = -x</t>
    </r>
    <r>
      <rPr>
        <vertAlign val="superscript"/>
        <sz val="11"/>
        <color theme="1"/>
        <rFont val="Arial"/>
        <family val="2"/>
        <scheme val="minor"/>
      </rPr>
      <t>4</t>
    </r>
    <r>
      <rPr>
        <sz val="11"/>
        <color theme="1"/>
        <rFont val="Arial"/>
        <family val="2"/>
        <scheme val="minor"/>
      </rPr>
      <t>+5x</t>
    </r>
    <r>
      <rPr>
        <vertAlign val="superscript"/>
        <sz val="11"/>
        <color theme="1"/>
        <rFont val="Arial"/>
        <family val="2"/>
        <scheme val="minor"/>
      </rPr>
      <t>3</t>
    </r>
    <r>
      <rPr>
        <sz val="11"/>
        <color theme="1"/>
        <rFont val="Arial"/>
        <family val="2"/>
        <scheme val="minor"/>
      </rPr>
      <t>+x</t>
    </r>
    <r>
      <rPr>
        <vertAlign val="superscript"/>
        <sz val="11"/>
        <color theme="1"/>
        <rFont val="Arial"/>
        <family val="2"/>
        <scheme val="minor"/>
      </rPr>
      <t>2</t>
    </r>
    <r>
      <rPr>
        <sz val="11"/>
        <color theme="1"/>
        <rFont val="Arial"/>
        <family val="2"/>
        <scheme val="minor"/>
      </rPr>
      <t>+4x-54</t>
    </r>
  </si>
  <si>
    <t>x</t>
  </si>
  <si>
    <t>PPVAL</t>
  </si>
  <si>
    <t>Equation Solvers</t>
  </si>
  <si>
    <r>
      <rPr>
        <b/>
        <sz val="11"/>
        <color theme="1"/>
        <rFont val="Arial"/>
        <family val="2"/>
        <scheme val="minor"/>
      </rPr>
      <t>SOLVE_NR</t>
    </r>
    <r>
      <rPr>
        <sz val="11"/>
        <color theme="1"/>
        <rFont val="Arial"/>
        <family val="2"/>
        <scheme val="minor"/>
      </rPr>
      <t>(function,xstart,[y],...) :: The Newton-Raphson Method as a LAMBDA function.</t>
    </r>
  </si>
  <si>
    <t>v 1.0.2</t>
  </si>
  <si>
    <t>Added PPVAL and SOLVE_NR. Modified internal parameter names for a few other functions.</t>
  </si>
  <si>
    <t>Working with Structure Arrays</t>
  </si>
  <si>
    <t>https://www.vertex42.com/lambda/structures.html</t>
  </si>
  <si>
    <t>Related LAMBDA Functions</t>
  </si>
  <si>
    <r>
      <rPr>
        <b/>
        <sz val="11"/>
        <color theme="1"/>
        <rFont val="Arial"/>
        <family val="2"/>
        <scheme val="minor"/>
      </rPr>
      <t>STRUCT_CREATE</t>
    </r>
    <r>
      <rPr>
        <sz val="11"/>
        <color theme="1"/>
        <rFont val="Arial"/>
        <family val="2"/>
        <scheme val="minor"/>
      </rPr>
      <t>(name_1,value_1,...,[name_4],[value_4]) ::  Create a structure with up to 4 fields.</t>
    </r>
  </si>
  <si>
    <r>
      <rPr>
        <b/>
        <sz val="11"/>
        <color theme="1"/>
        <rFont val="Arial"/>
        <family val="2"/>
        <scheme val="minor"/>
      </rPr>
      <t>STRUCT_GET</t>
    </r>
    <r>
      <rPr>
        <sz val="11"/>
        <color theme="1"/>
        <rFont val="Arial"/>
        <family val="2"/>
        <scheme val="minor"/>
      </rPr>
      <t>(name,structure) :: Retrieve a field by name from an existing structure.</t>
    </r>
  </si>
  <si>
    <r>
      <rPr>
        <b/>
        <sz val="11"/>
        <color theme="1"/>
        <rFont val="Arial"/>
        <family val="2"/>
        <scheme val="minor"/>
      </rPr>
      <t>STRUCT_APPEND</t>
    </r>
    <r>
      <rPr>
        <sz val="11"/>
        <color theme="1"/>
        <rFont val="Arial"/>
        <family val="2"/>
        <scheme val="minor"/>
      </rPr>
      <t>(name,value,structure) :: Append a new field to an existing structure.</t>
    </r>
  </si>
  <si>
    <r>
      <rPr>
        <b/>
        <sz val="11"/>
        <color theme="1"/>
        <rFont val="Arial"/>
        <family val="2"/>
        <scheme val="minor"/>
      </rPr>
      <t>STRUCT_REMOVE</t>
    </r>
    <r>
      <rPr>
        <sz val="11"/>
        <color theme="1"/>
        <rFont val="Arial"/>
        <family val="2"/>
        <scheme val="minor"/>
      </rPr>
      <t>(name,structure) :: Remove a field by name from an existing structure.</t>
    </r>
  </si>
  <si>
    <t>Sample Structure</t>
  </si>
  <si>
    <t>Title</t>
  </si>
  <si>
    <t>Structure Example</t>
  </si>
  <si>
    <t>Chars</t>
  </si>
  <si>
    <t>D</t>
  </si>
  <si>
    <t>E</t>
  </si>
  <si>
    <t>F</t>
  </si>
  <si>
    <t>Numbers</t>
  </si>
  <si>
    <t>Using STRUCT_CREATE</t>
  </si>
  <si>
    <t>Sample Nested Structure</t>
  </si>
  <si>
    <t>y</t>
  </si>
  <si>
    <t>z</t>
  </si>
  <si>
    <r>
      <t>Example: z = x</t>
    </r>
    <r>
      <rPr>
        <b/>
        <vertAlign val="superscript"/>
        <sz val="11"/>
        <color theme="1"/>
        <rFont val="Arial"/>
        <family val="2"/>
        <scheme val="minor"/>
      </rPr>
      <t>2</t>
    </r>
    <r>
      <rPr>
        <b/>
        <sz val="11"/>
        <color theme="1"/>
        <rFont val="Arial"/>
        <family val="2"/>
        <scheme val="minor"/>
      </rPr>
      <t>+y</t>
    </r>
    <r>
      <rPr>
        <b/>
        <vertAlign val="superscript"/>
        <sz val="11"/>
        <color theme="1"/>
        <rFont val="Arial"/>
        <family val="2"/>
        <scheme val="minor"/>
      </rPr>
      <t>2</t>
    </r>
    <r>
      <rPr>
        <b/>
        <sz val="11"/>
        <color theme="1"/>
        <rFont val="Arial"/>
        <family val="2"/>
        <scheme val="minor"/>
      </rPr>
      <t>-t</t>
    </r>
    <r>
      <rPr>
        <b/>
        <vertAlign val="superscript"/>
        <sz val="11"/>
        <color theme="1"/>
        <rFont val="Arial"/>
        <family val="2"/>
        <scheme val="minor"/>
      </rPr>
      <t>2</t>
    </r>
    <r>
      <rPr>
        <b/>
        <sz val="11"/>
        <color theme="1"/>
        <rFont val="Arial"/>
        <family val="2"/>
        <scheme val="minor"/>
      </rPr>
      <t xml:space="preserve"> for t=0,1,2</t>
    </r>
  </si>
  <si>
    <t>Using STRUCT_CREATE and STRUCT_APPEND</t>
  </si>
  <si>
    <t>STRUCT_GET</t>
  </si>
  <si>
    <t>Name</t>
  </si>
  <si>
    <t>STRUCT_REMOVE</t>
  </si>
  <si>
    <t>Example: Make a 2D X-Y Grid with MESHGRID then Calculate Z</t>
  </si>
  <si>
    <t>pts</t>
  </si>
  <si>
    <t>You can change the start, end, and pts values in the table below</t>
  </si>
  <si>
    <t>https://www.vertex42.com/lambda/quadratic.html</t>
  </si>
  <si>
    <r>
      <t>ax</t>
    </r>
    <r>
      <rPr>
        <vertAlign val="superscript"/>
        <sz val="11"/>
        <color theme="1"/>
        <rFont val="Arial"/>
        <family val="2"/>
        <scheme val="minor"/>
      </rPr>
      <t>2</t>
    </r>
    <r>
      <rPr>
        <sz val="11"/>
        <color theme="1"/>
        <rFont val="Arial"/>
        <family val="2"/>
        <scheme val="minor"/>
      </rPr>
      <t>+bx+c</t>
    </r>
  </si>
  <si>
    <t>c</t>
  </si>
  <si>
    <t>QUADRATIC</t>
  </si>
  <si>
    <t>xmin</t>
  </si>
  <si>
    <t>xmax</t>
  </si>
  <si>
    <t>Graph of the Parabola</t>
  </si>
  <si>
    <r>
      <t>r</t>
    </r>
    <r>
      <rPr>
        <vertAlign val="subscript"/>
        <sz val="11"/>
        <color theme="1"/>
        <rFont val="Arial"/>
        <family val="2"/>
        <scheme val="minor"/>
      </rPr>
      <t>max</t>
    </r>
  </si>
  <si>
    <r>
      <t>r</t>
    </r>
    <r>
      <rPr>
        <vertAlign val="subscript"/>
        <sz val="11"/>
        <color theme="1"/>
        <rFont val="Arial"/>
        <family val="2"/>
        <scheme val="minor"/>
      </rPr>
      <t>min</t>
    </r>
  </si>
  <si>
    <r>
      <t>p</t>
    </r>
    <r>
      <rPr>
        <vertAlign val="subscript"/>
        <sz val="11"/>
        <color theme="1"/>
        <rFont val="Arial"/>
        <family val="2"/>
        <scheme val="minor"/>
      </rPr>
      <t>i</t>
    </r>
    <r>
      <rPr>
        <sz val="11"/>
        <color theme="1"/>
        <rFont val="Arial"/>
        <family val="2"/>
        <scheme val="minor"/>
      </rPr>
      <t>(x)</t>
    </r>
  </si>
  <si>
    <t>Examples</t>
  </si>
  <si>
    <t>Note</t>
  </si>
  <si>
    <t>Repeated root</t>
  </si>
  <si>
    <t>c=0</t>
  </si>
  <si>
    <t>b=0,c=0</t>
  </si>
  <si>
    <t>Complex roots</t>
  </si>
  <si>
    <t>|b| ≈ SQRT(discriminant)</t>
  </si>
  <si>
    <t>(x-3)(x+2)</t>
  </si>
  <si>
    <t>(2x-1)(x+5)</t>
  </si>
  <si>
    <t>Example #</t>
  </si>
  <si>
    <t>Vertex, x :</t>
  </si>
  <si>
    <t>Vertex, y :</t>
  </si>
  <si>
    <t>Discriminant :</t>
  </si>
  <si>
    <t>v 1.0.3</t>
  </si>
  <si>
    <t>±SQRT(|...|) :</t>
  </si>
  <si>
    <t>i</t>
  </si>
  <si>
    <t>Added QUADRATIC, a set of complex number functions, and a set of STRUCT functions for working with structures</t>
  </si>
  <si>
    <r>
      <rPr>
        <b/>
        <sz val="11"/>
        <color theme="1"/>
        <rFont val="Arial"/>
        <family val="2"/>
        <scheme val="minor"/>
      </rPr>
      <t>IM_ISCOMPLEX</t>
    </r>
    <r>
      <rPr>
        <sz val="11"/>
        <color theme="1"/>
        <rFont val="Arial"/>
        <family val="2"/>
        <scheme val="minor"/>
      </rPr>
      <t>(matrix) :: Returns TRUE if a matrix includes at least one complex number</t>
    </r>
  </si>
  <si>
    <r>
      <rPr>
        <b/>
        <sz val="11"/>
        <color theme="1"/>
        <rFont val="Arial"/>
        <family val="2"/>
        <scheme val="minor"/>
      </rPr>
      <t>IM_CTRANSPOSE</t>
    </r>
    <r>
      <rPr>
        <sz val="11"/>
        <color theme="1"/>
        <rFont val="Arial"/>
        <family val="2"/>
        <scheme val="minor"/>
      </rPr>
      <t>(matrix) :: Returns the conjugate transpose of a complex matrix</t>
    </r>
  </si>
  <si>
    <r>
      <rPr>
        <b/>
        <sz val="11"/>
        <color theme="1"/>
        <rFont val="Arial"/>
        <family val="2"/>
        <scheme val="minor"/>
      </rPr>
      <t>IM_DOT</t>
    </r>
    <r>
      <rPr>
        <sz val="11"/>
        <color theme="1"/>
        <rFont val="Arial"/>
        <family val="2"/>
        <scheme val="minor"/>
      </rPr>
      <t xml:space="preserve">(a_vec,b_vec) :: Returns the Complex Dot Product of two vectors </t>
    </r>
  </si>
  <si>
    <r>
      <rPr>
        <b/>
        <sz val="11"/>
        <color theme="1"/>
        <rFont val="Arial"/>
        <family val="2"/>
        <scheme val="minor"/>
      </rPr>
      <t>IM_SUMPRODUCT</t>
    </r>
    <r>
      <rPr>
        <sz val="11"/>
        <color theme="1"/>
        <rFont val="Arial"/>
        <family val="2"/>
        <scheme val="minor"/>
      </rPr>
      <t>(a_vec,b_vec) :: Returns the sum of the element-wise multiplication of a and b</t>
    </r>
  </si>
  <si>
    <r>
      <rPr>
        <b/>
        <sz val="11"/>
        <color theme="1"/>
        <rFont val="Arial"/>
        <family val="2"/>
        <scheme val="minor"/>
      </rPr>
      <t>IM_MMULT</t>
    </r>
    <r>
      <rPr>
        <sz val="11"/>
        <color theme="1"/>
        <rFont val="Arial"/>
        <family val="2"/>
        <scheme val="minor"/>
      </rPr>
      <t>(a_mat,b_mat) :: Returns the matrix multiplication of a and b</t>
    </r>
  </si>
  <si>
    <t>Graph of the Parabola in the Complex Plane</t>
  </si>
  <si>
    <t>disc=0, rounding errors</t>
  </si>
  <si>
    <r>
      <rPr>
        <b/>
        <sz val="11"/>
        <color theme="1"/>
        <rFont val="Arial"/>
        <family val="2"/>
        <scheme val="minor"/>
      </rPr>
      <t>IM_ROUNDTOZERO</t>
    </r>
    <r>
      <rPr>
        <sz val="11"/>
        <color theme="1"/>
        <rFont val="Arial"/>
        <family val="2"/>
        <scheme val="minor"/>
      </rPr>
      <t>(inumber,[epsilon]) :: Makes any |coefficient| less than epsilon=1E-14 equal to zero</t>
    </r>
  </si>
  <si>
    <r>
      <rPr>
        <b/>
        <sz val="11"/>
        <color theme="1"/>
        <rFont val="Arial"/>
        <family val="2"/>
        <scheme val="minor"/>
      </rPr>
      <t>IM_ROUND</t>
    </r>
    <r>
      <rPr>
        <sz val="11"/>
        <color theme="1"/>
        <rFont val="Arial"/>
        <family val="2"/>
        <scheme val="minor"/>
      </rPr>
      <t>(inumber,num_digits) :: Applies the ROUND function to the coefficients of inumber</t>
    </r>
  </si>
  <si>
    <r>
      <rPr>
        <b/>
        <sz val="11"/>
        <color theme="1"/>
        <rFont val="Arial"/>
        <family val="2"/>
        <scheme val="minor"/>
      </rPr>
      <t>IM_TOARRAY</t>
    </r>
    <r>
      <rPr>
        <sz val="11"/>
        <color theme="1"/>
        <rFont val="Arial"/>
        <family val="2"/>
        <scheme val="minor"/>
      </rPr>
      <t>(inumber) :: Converts z=x+yi to an array {x,y}. inumber may be a column vector.</t>
    </r>
  </si>
  <si>
    <t>H:</t>
  </si>
  <si>
    <t>U:</t>
  </si>
  <si>
    <t>v 1.0.4</t>
  </si>
  <si>
    <t>https://www.vertex42.com/lambda/replaceblock.html</t>
  </si>
  <si>
    <t>Block</t>
  </si>
  <si>
    <t>Location, i</t>
  </si>
  <si>
    <t>Location, j</t>
  </si>
  <si>
    <t>https://www.vertex42.com/lambda/slice.html</t>
  </si>
  <si>
    <t>Original Array</t>
  </si>
  <si>
    <t>ROW</t>
  </si>
  <si>
    <t>COL</t>
  </si>
  <si>
    <t>Replace With</t>
  </si>
  <si>
    <t>Start</t>
  </si>
  <si>
    <t>Delete</t>
  </si>
  <si>
    <t>by_col</t>
  </si>
  <si>
    <t>SPLICE</t>
  </si>
  <si>
    <t>https://www.vertex42.com/lambda/splice.html</t>
  </si>
  <si>
    <t>https://www.vertex42.com/lambda/cspline.html</t>
  </si>
  <si>
    <t>CSPLINE Piecewise Polynomial</t>
  </si>
  <si>
    <t>pp_array</t>
  </si>
  <si>
    <r>
      <t>a</t>
    </r>
    <r>
      <rPr>
        <vertAlign val="subscript"/>
        <sz val="11"/>
        <color theme="0"/>
        <rFont val="Arial"/>
        <family val="2"/>
        <scheme val="minor"/>
      </rPr>
      <t>i</t>
    </r>
  </si>
  <si>
    <r>
      <t>b</t>
    </r>
    <r>
      <rPr>
        <vertAlign val="subscript"/>
        <sz val="11"/>
        <color theme="0"/>
        <rFont val="Arial"/>
        <family val="2"/>
        <scheme val="minor"/>
      </rPr>
      <t>i</t>
    </r>
  </si>
  <si>
    <r>
      <t>c</t>
    </r>
    <r>
      <rPr>
        <vertAlign val="subscript"/>
        <sz val="11"/>
        <color theme="0"/>
        <rFont val="Arial"/>
        <family val="2"/>
        <scheme val="minor"/>
      </rPr>
      <t>i</t>
    </r>
  </si>
  <si>
    <r>
      <t>d</t>
    </r>
    <r>
      <rPr>
        <vertAlign val="subscript"/>
        <sz val="11"/>
        <color theme="0"/>
        <rFont val="Arial"/>
        <family val="2"/>
        <scheme val="minor"/>
      </rPr>
      <t>i</t>
    </r>
  </si>
  <si>
    <t>Control Points</t>
  </si>
  <si>
    <t>slopes</t>
  </si>
  <si>
    <r>
      <t>UAU</t>
    </r>
    <r>
      <rPr>
        <vertAlign val="superscript"/>
        <sz val="11"/>
        <color theme="1"/>
        <rFont val="Arial"/>
        <family val="2"/>
        <scheme val="minor"/>
      </rPr>
      <t>T</t>
    </r>
    <r>
      <rPr>
        <b/>
        <sz val="11"/>
        <color theme="1"/>
        <rFont val="Arial"/>
        <family val="2"/>
        <scheme val="minor"/>
      </rPr>
      <t>:</t>
    </r>
  </si>
  <si>
    <t>v 1.0.5</t>
  </si>
  <si>
    <t>https://www.vertex42.com/lambda/eigenvalue.html</t>
  </si>
  <si>
    <t>SYMMETRIC:</t>
  </si>
  <si>
    <t>POSITIVE DEFINITE:</t>
  </si>
  <si>
    <t>iterations:</t>
  </si>
  <si>
    <t>use_hess:</t>
  </si>
  <si>
    <t>test</t>
  </si>
  <si>
    <t>matrix</t>
  </si>
  <si>
    <t>output_form:</t>
  </si>
  <si>
    <t>Using "test" mode</t>
  </si>
  <si>
    <r>
      <t>◄ The Q matrix is orthonormal (and might be the eigenvectors). A = QUQ</t>
    </r>
    <r>
      <rPr>
        <vertAlign val="superscript"/>
        <sz val="11"/>
        <color theme="1"/>
        <rFont val="Arial"/>
        <family val="2"/>
        <scheme val="minor"/>
      </rPr>
      <t>T</t>
    </r>
  </si>
  <si>
    <t>◄ Check the eigenvalues by verifying that these values are close enough to 0</t>
  </si>
  <si>
    <t>◄ The U matrix. Check for 0s in the lower off-diagonal elements</t>
  </si>
  <si>
    <t>◄ The eigenvalues are pulled from the diagonal of U</t>
  </si>
  <si>
    <t>◄ Check each column of Q to see if it is an eigenvector of A</t>
  </si>
  <si>
    <t>https://www.vertex42.com/lambda/polyroots.html</t>
  </si>
  <si>
    <t>epsilon</t>
  </si>
  <si>
    <t>iterations</t>
  </si>
  <si>
    <t>xstart</t>
  </si>
  <si>
    <t>default = 0.4+0.9i</t>
  </si>
  <si>
    <t>return_abs</t>
  </si>
  <si>
    <t>default = FALSE</t>
  </si>
  <si>
    <t>ROOTS</t>
  </si>
  <si>
    <t>CHECK</t>
  </si>
  <si>
    <t>{1,0,0,0,0} (roots: 0,0,0,0)</t>
  </si>
  <si>
    <t>default = 42</t>
  </si>
  <si>
    <t>default (runs through all iterations)</t>
  </si>
  <si>
    <t>Always Verify Accuracy</t>
  </si>
  <si>
    <t>{1,4,6,4,1} (roots: -1,-1,-1,-1)</t>
  </si>
  <si>
    <r>
      <rPr>
        <b/>
        <sz val="11"/>
        <color theme="1"/>
        <rFont val="Arial"/>
        <family val="2"/>
        <scheme val="minor"/>
      </rPr>
      <t>IM_ISHERMITIAN</t>
    </r>
    <r>
      <rPr>
        <sz val="11"/>
        <color theme="1"/>
        <rFont val="Arial"/>
        <family val="2"/>
        <scheme val="minor"/>
      </rPr>
      <t>(matrix) :: Returns TRUE if the matrix is equal to its conjugate transpose</t>
    </r>
  </si>
  <si>
    <t>v 1.0.6</t>
  </si>
  <si>
    <t>With Complex Numbers</t>
  </si>
  <si>
    <t>COEFFS</t>
  </si>
  <si>
    <t>https://www.vertex42.com/lambda/polyfromroots.html</t>
  </si>
  <si>
    <r>
      <t>q</t>
    </r>
    <r>
      <rPr>
        <b/>
        <vertAlign val="subscript"/>
        <sz val="11"/>
        <color theme="1"/>
        <rFont val="Arial"/>
        <family val="2"/>
        <scheme val="minor"/>
      </rPr>
      <t>1</t>
    </r>
    <r>
      <rPr>
        <b/>
        <sz val="11"/>
        <color theme="1"/>
        <rFont val="Arial"/>
        <family val="2"/>
        <scheme val="minor"/>
      </rPr>
      <t>(x)</t>
    </r>
  </si>
  <si>
    <r>
      <t>q</t>
    </r>
    <r>
      <rPr>
        <b/>
        <vertAlign val="subscript"/>
        <sz val="11"/>
        <color theme="1"/>
        <rFont val="Arial"/>
        <family val="2"/>
        <scheme val="minor"/>
      </rPr>
      <t>2</t>
    </r>
    <r>
      <rPr>
        <b/>
        <sz val="11"/>
        <color theme="1"/>
        <rFont val="Arial"/>
        <family val="2"/>
        <scheme val="minor"/>
      </rPr>
      <t>(x)</t>
    </r>
  </si>
  <si>
    <r>
      <t>q</t>
    </r>
    <r>
      <rPr>
        <b/>
        <vertAlign val="subscript"/>
        <sz val="11"/>
        <color theme="1"/>
        <rFont val="Arial"/>
        <family val="2"/>
        <scheme val="minor"/>
      </rPr>
      <t>3</t>
    </r>
    <r>
      <rPr>
        <b/>
        <sz val="11"/>
        <color theme="1"/>
        <rFont val="Arial"/>
        <family val="2"/>
        <scheme val="minor"/>
      </rPr>
      <t>(x)</t>
    </r>
  </si>
  <si>
    <r>
      <t>q</t>
    </r>
    <r>
      <rPr>
        <b/>
        <vertAlign val="subscript"/>
        <sz val="11"/>
        <color theme="1"/>
        <rFont val="Arial"/>
        <family val="2"/>
        <scheme val="minor"/>
      </rPr>
      <t>4</t>
    </r>
    <r>
      <rPr>
        <b/>
        <sz val="11"/>
        <color theme="1"/>
        <rFont val="Arial"/>
        <family val="2"/>
        <scheme val="minor"/>
      </rPr>
      <t>(x)</t>
    </r>
  </si>
  <si>
    <t>Integral of p(x) from a to b:</t>
  </si>
  <si>
    <t>q(x)</t>
  </si>
  <si>
    <t>https://www.vertex42.com/lambda/polyint.html</t>
  </si>
  <si>
    <t>https://www.vertex42.com/lambda/fibonacci.html</t>
  </si>
  <si>
    <r>
      <t>Golden Ratio: Limit of F</t>
    </r>
    <r>
      <rPr>
        <vertAlign val="subscript"/>
        <sz val="11"/>
        <color theme="1"/>
        <rFont val="Arial"/>
        <family val="2"/>
        <scheme val="minor"/>
      </rPr>
      <t>n</t>
    </r>
    <r>
      <rPr>
        <sz val="11"/>
        <color theme="1"/>
        <rFont val="Arial"/>
        <family val="2"/>
        <scheme val="minor"/>
      </rPr>
      <t>/F</t>
    </r>
    <r>
      <rPr>
        <vertAlign val="subscript"/>
        <sz val="11"/>
        <color theme="1"/>
        <rFont val="Arial"/>
        <family val="2"/>
        <scheme val="minor"/>
      </rPr>
      <t>n-1</t>
    </r>
    <r>
      <rPr>
        <sz val="11"/>
        <color theme="1"/>
        <rFont val="Arial"/>
        <family val="2"/>
        <scheme val="minor"/>
      </rPr>
      <t xml:space="preserve"> as n approaches infinity</t>
    </r>
  </si>
  <si>
    <t>φ = (1+sqrt(5))/2</t>
  </si>
  <si>
    <t>ψ = (1-sqrt(5))/2</t>
  </si>
  <si>
    <t>sequence_tf</t>
  </si>
  <si>
    <t>RESULT :</t>
  </si>
  <si>
    <r>
      <t xml:space="preserve">If </t>
    </r>
    <r>
      <rPr>
        <i/>
        <sz val="11"/>
        <color theme="1"/>
        <rFont val="Arial"/>
        <family val="2"/>
        <scheme val="minor"/>
      </rPr>
      <t>sequence_tf</t>
    </r>
    <r>
      <rPr>
        <sz val="11"/>
        <color theme="1"/>
        <rFont val="Arial"/>
        <family val="2"/>
        <scheme val="minor"/>
      </rPr>
      <t xml:space="preserve"> = FALSE, then F</t>
    </r>
    <r>
      <rPr>
        <vertAlign val="subscript"/>
        <sz val="11"/>
        <color theme="1"/>
        <rFont val="Arial"/>
        <family val="2"/>
        <scheme val="minor"/>
      </rPr>
      <t>0</t>
    </r>
    <r>
      <rPr>
        <sz val="11"/>
        <color theme="1"/>
        <rFont val="Arial"/>
        <family val="2"/>
        <scheme val="minor"/>
      </rPr>
      <t>=0, F</t>
    </r>
    <r>
      <rPr>
        <vertAlign val="subscript"/>
        <sz val="11"/>
        <color theme="1"/>
        <rFont val="Arial"/>
        <family val="2"/>
        <scheme val="minor"/>
      </rPr>
      <t>1</t>
    </r>
    <r>
      <rPr>
        <sz val="11"/>
        <color theme="1"/>
        <rFont val="Arial"/>
        <family val="2"/>
        <scheme val="minor"/>
      </rPr>
      <t>=1, etc.</t>
    </r>
  </si>
  <si>
    <t>v 1.0.7</t>
  </si>
  <si>
    <t>xend</t>
  </si>
  <si>
    <t>https://www.vertex42.com/lambda/diff.html</t>
  </si>
  <si>
    <t>Calculate the difference between adjacent values of a column vector</t>
  </si>
  <si>
    <t>∆x</t>
  </si>
  <si>
    <t>∆y</t>
  </si>
  <si>
    <r>
      <t>∆</t>
    </r>
    <r>
      <rPr>
        <vertAlign val="superscript"/>
        <sz val="11"/>
        <color theme="0"/>
        <rFont val="Arial"/>
        <family val="2"/>
        <scheme val="minor"/>
      </rPr>
      <t>2</t>
    </r>
    <r>
      <rPr>
        <sz val="11"/>
        <color theme="0"/>
        <rFont val="Arial"/>
        <family val="2"/>
        <scheme val="minor"/>
      </rPr>
      <t>y</t>
    </r>
  </si>
  <si>
    <t>Return the first N values in the Fibonacci sequence</t>
  </si>
  <si>
    <t>Returns the array scaled to [lower,upper]</t>
  </si>
  <si>
    <t>Create a 2D grid of X-Y Coordinates</t>
  </si>
  <si>
    <t>Create a vector with n logarithmically spaced points</t>
  </si>
  <si>
    <t>Create a vector with n linearly spaced points</t>
  </si>
  <si>
    <t>Evalutes the polynomial p(x) given by a row vector of coefficients in decreasing order of power</t>
  </si>
  <si>
    <t>Returns the coefficients for the nth-degree polynomial fit using LINEST</t>
  </si>
  <si>
    <t>Linearly interpolate between the two nearest points in a table lookup</t>
  </si>
  <si>
    <t>Polynomial interpolation between the n+1 closest points in the table</t>
  </si>
  <si>
    <t>Returns the derivative of the polynomial defined by coefficients in descending order of power.</t>
  </si>
  <si>
    <t>Returns the integral of the polynomial with integration constant k, optionally evaluated from a to b</t>
  </si>
  <si>
    <t>Returns the coefficients of the polynomial found by multiplying polynomials a and b.</t>
  </si>
  <si>
    <t>Returns the companion matrix for a polynomial defined by coeffs</t>
  </si>
  <si>
    <t>Evaluate a Piecewise Polynomial at each value of x</t>
  </si>
  <si>
    <t>Cubic Spline - creates and interpolates a cubic piecewise polynomial</t>
  </si>
  <si>
    <t>Uses the quadratic formula to solve ax^2+bx+c=0</t>
  </si>
  <si>
    <t>Find all the real and complex roots of a polynomial using the Weierstrauss method</t>
  </si>
  <si>
    <t>Create a monic polynomial from a vector of roots</t>
  </si>
  <si>
    <t>Round a value to a number of significant figures</t>
  </si>
  <si>
    <t>Convert a Roman numeral like XLII to a decimal integer</t>
  </si>
  <si>
    <t>Count the number of instances of a character or string within text</t>
  </si>
  <si>
    <t>Reverses the order of the rows or columns of an array</t>
  </si>
  <si>
    <t>Create an array or vector of ones, based on size of array or dimensions m,n</t>
  </si>
  <si>
    <t>Convert a vector to a Diagonal matrix or vice versa</t>
  </si>
  <si>
    <t>Returns the sum of the diagonal elements of a square matrix</t>
  </si>
  <si>
    <t>Returns TRUE if the matrix is symmetric</t>
  </si>
  <si>
    <t>Returns a column (or row) containing the sum of each row (or column)</t>
  </si>
  <si>
    <t>Returns the magnitude of a vector or the magnitude of individual columns of a matrix</t>
  </si>
  <si>
    <t>Returns the dot product of vectors a and b or the column sum of AE9</t>
  </si>
  <si>
    <t>Returns the cross product of vectors a and b</t>
  </si>
  <si>
    <t>Returns a Pascal matrix of size nxn</t>
  </si>
  <si>
    <t>Returns the Hessenberg of a square matrix using the Householder transformation</t>
  </si>
  <si>
    <t>Returns the QR Decomposition of A using the Householder transformation process</t>
  </si>
  <si>
    <t>Attempts to find eigenvalues of a square matrix with n iterations using a QR algorithm</t>
  </si>
  <si>
    <t>Returns the Cholesky decomposition of a symmetric positive-definite matrix</t>
  </si>
  <si>
    <t>Rotates the array 90 degrees counterclockwise (not identical to transpose)</t>
  </si>
  <si>
    <t>Shifts the rows (or columns) of an array n times</t>
  </si>
  <si>
    <t>Repeat an array m times vertically and n times horizontally</t>
  </si>
  <si>
    <t>Repeat the elements of an array m times vertically and n times horizontally.</t>
  </si>
  <si>
    <t>Return a subset of an array by specifying row and column start and end indices</t>
  </si>
  <si>
    <t>Splice an array to delete or insert rows or columns</t>
  </si>
  <si>
    <t>Replace a block within an array by specifying the starting (i,j) location</t>
  </si>
  <si>
    <t>Returns an array of all combinations of rows within two arrays</t>
  </si>
  <si>
    <t>Return all the combinations of size r from an nx1 array</t>
  </si>
  <si>
    <t>v 1.0.8</t>
  </si>
  <si>
    <t>https://www.vertex42.com/lambda/fdiff.html</t>
  </si>
  <si>
    <t>Calculate the n-th Finite Difference Derivative assuming uniform spacing h</t>
  </si>
  <si>
    <t>Example: y=SIN(x)</t>
  </si>
  <si>
    <t>y=SIN(x)</t>
  </si>
  <si>
    <t>y'=COS(x)</t>
  </si>
  <si>
    <t>y''=-SIN(x)</t>
  </si>
  <si>
    <t>y'''=-COS(x)</t>
  </si>
  <si>
    <t>h</t>
  </si>
  <si>
    <t>∆y/∆x</t>
  </si>
  <si>
    <r>
      <t>∆</t>
    </r>
    <r>
      <rPr>
        <vertAlign val="superscript"/>
        <sz val="11"/>
        <color theme="0"/>
        <rFont val="Arial"/>
        <family val="2"/>
        <scheme val="minor"/>
      </rPr>
      <t>2</t>
    </r>
    <r>
      <rPr>
        <sz val="11"/>
        <color theme="0"/>
        <rFont val="Arial"/>
        <family val="2"/>
        <scheme val="minor"/>
      </rPr>
      <t>y/∆x</t>
    </r>
    <r>
      <rPr>
        <vertAlign val="superscript"/>
        <sz val="11"/>
        <color theme="0"/>
        <rFont val="Arial"/>
        <family val="2"/>
        <scheme val="minor"/>
      </rPr>
      <t>2</t>
    </r>
  </si>
  <si>
    <r>
      <t>∆</t>
    </r>
    <r>
      <rPr>
        <vertAlign val="superscript"/>
        <sz val="11"/>
        <color theme="0"/>
        <rFont val="Arial"/>
        <family val="2"/>
        <scheme val="minor"/>
      </rPr>
      <t>3</t>
    </r>
    <r>
      <rPr>
        <sz val="11"/>
        <color theme="0"/>
        <rFont val="Arial"/>
        <family val="2"/>
        <scheme val="minor"/>
      </rPr>
      <t>y/∆x</t>
    </r>
    <r>
      <rPr>
        <vertAlign val="superscript"/>
        <sz val="11"/>
        <color theme="0"/>
        <rFont val="Arial"/>
        <family val="2"/>
        <scheme val="minor"/>
      </rPr>
      <t>3</t>
    </r>
  </si>
  <si>
    <r>
      <t>∆</t>
    </r>
    <r>
      <rPr>
        <vertAlign val="superscript"/>
        <sz val="11"/>
        <color theme="0"/>
        <rFont val="Arial"/>
        <family val="2"/>
        <scheme val="minor"/>
      </rPr>
      <t>4</t>
    </r>
    <r>
      <rPr>
        <sz val="11"/>
        <color theme="0"/>
        <rFont val="Arial"/>
        <family val="2"/>
        <scheme val="minor"/>
      </rPr>
      <t>y/∆x</t>
    </r>
    <r>
      <rPr>
        <vertAlign val="superscript"/>
        <sz val="11"/>
        <color theme="0"/>
        <rFont val="Arial"/>
        <family val="2"/>
        <scheme val="minor"/>
      </rPr>
      <t>4</t>
    </r>
  </si>
  <si>
    <t>https://www.vertex42.com/lambda/pdiff.html</t>
  </si>
  <si>
    <t>dy/dx</t>
  </si>
  <si>
    <t>d2y/dx2</t>
  </si>
  <si>
    <t>order</t>
  </si>
  <si>
    <t>known_xs</t>
  </si>
  <si>
    <t>known_ys</t>
  </si>
  <si>
    <t>Calculate the nth-Derivative of y(x) using a polynomial-based Finite Difference approximation</t>
  </si>
  <si>
    <t>Using PDIFF</t>
  </si>
  <si>
    <t>order:</t>
  </si>
  <si>
    <t>Using FDIFF</t>
  </si>
  <si>
    <t>points</t>
  </si>
  <si>
    <r>
      <t>Example: y=1/(1+25*x^2)</t>
    </r>
    <r>
      <rPr>
        <sz val="11"/>
        <color theme="1"/>
        <rFont val="Arial"/>
        <family val="2"/>
        <scheme val="minor"/>
      </rPr>
      <t>, dydx=(-50*x)/(1+25*x^2)^2, d2y/dx2=(5000*x^2)/(1+25*x^2)^3-50/(1+25*x^2)^2</t>
    </r>
  </si>
  <si>
    <t>δ1</t>
  </si>
  <si>
    <t>δ2</t>
  </si>
  <si>
    <t>https://www.vertex42.com/lambda/trapz.html</t>
  </si>
  <si>
    <t>Numerical Integration using the Trapezoidal Rule</t>
  </si>
  <si>
    <t>TRAPZ</t>
  </si>
  <si>
    <t>v 1.0.9</t>
  </si>
  <si>
    <t>https://www.vertex42.com/lambda/polyadd.html</t>
  </si>
  <si>
    <t>Add two polynomials, optionally dropping any leading zero terms.</t>
  </si>
  <si>
    <t>POLYADD</t>
  </si>
  <si>
    <t>Subtract two polynomials, optionally dropping any leading zero terms.</t>
  </si>
  <si>
    <t>POLYSUB</t>
  </si>
  <si>
    <t>https://www.vertex42.com/lambda/polydiv.html</t>
  </si>
  <si>
    <t>Polynomial long division, returns the quotient and remainder of a / b.</t>
  </si>
  <si>
    <t>POLYDIV</t>
  </si>
  <si>
    <t>r(x) :</t>
  </si>
  <si>
    <t xml:space="preserve">b(x) : </t>
  </si>
  <si>
    <t xml:space="preserve">a(x) : </t>
  </si>
  <si>
    <t>q(x) :</t>
  </si>
  <si>
    <t>v 1.0.10</t>
  </si>
  <si>
    <t>Example Cumulative Trapezoidal Integration</t>
  </si>
  <si>
    <t>ACTUAL</t>
  </si>
  <si>
    <r>
      <t>f(x)=x</t>
    </r>
    <r>
      <rPr>
        <vertAlign val="superscript"/>
        <sz val="11"/>
        <color theme="1"/>
        <rFont val="Arial"/>
        <family val="2"/>
        <scheme val="minor"/>
      </rPr>
      <t>2</t>
    </r>
  </si>
  <si>
    <t>P(x)</t>
  </si>
  <si>
    <t>P(x) [0,6]</t>
  </si>
  <si>
    <t>https://www.vertex42.com/lambda/ppint.html</t>
  </si>
  <si>
    <t>PPINT</t>
  </si>
  <si>
    <t>Definite Integral of a Piecewise Polynomial from a to b</t>
  </si>
  <si>
    <t>Example: Integral of the CSPLINE example above</t>
  </si>
  <si>
    <t>Example: Integral of the PPVAL example above</t>
  </si>
  <si>
    <t>Example: Cumulative Integral of the PPVAL example above</t>
  </si>
  <si>
    <t>https://www.vertex42.com/lambda/timer.html</t>
  </si>
  <si>
    <t>Runs the expression n times in sequence and returns the time in ms.</t>
  </si>
  <si>
    <t>Iterations</t>
  </si>
  <si>
    <t>TIME (ms)</t>
  </si>
  <si>
    <t>https://www.vertex42.com/lambda/byrow2d.html</t>
  </si>
  <si>
    <t>array</t>
  </si>
  <si>
    <t>Sum:</t>
  </si>
  <si>
    <t>Average:</t>
  </si>
  <si>
    <t>Sum</t>
  </si>
  <si>
    <t>Average</t>
  </si>
  <si>
    <t>BYROW2D</t>
  </si>
  <si>
    <t>BYCOL2D</t>
  </si>
  <si>
    <t>Like BYROW, but allows the function to return a multi-column array instead of just a single column.</t>
  </si>
  <si>
    <t>v 1.0.11</t>
  </si>
  <si>
    <t>https://www.vertex42.com/lambda/ppder.html</t>
  </si>
  <si>
    <t>PPDER</t>
  </si>
  <si>
    <t>1st Derivative</t>
  </si>
  <si>
    <t>2nd Derivative</t>
  </si>
  <si>
    <t>1st Deriv.</t>
  </si>
  <si>
    <t>2nd Deriv.</t>
  </si>
  <si>
    <t>https://www.vertex42.com/lambda/nspline.html</t>
  </si>
  <si>
    <t>NSPLINE Piecewise Polynomial</t>
  </si>
  <si>
    <t>Natural Cubic Spline - Creates a C2 Interpolating Spline with d2y/dx2=0 at the end points</t>
  </si>
  <si>
    <t>Note: NSPLINE can extrapolate because the portions of the curve extending from the end points are just straight lines with slopes equal to the slopes at the first/last control points</t>
  </si>
  <si>
    <t>SPLINE Piecewise Polynomial</t>
  </si>
  <si>
    <t>C2 Interpolating Cubic Spline with specified end conditions: "not", "free", or slope value (default="not" referring to "not-a-knot")</t>
  </si>
  <si>
    <t>https://www.vertex42.com/lambda/spline.html</t>
  </si>
  <si>
    <t>cond_end</t>
  </si>
  <si>
    <t>cond_start</t>
  </si>
  <si>
    <t>3rd Deriv.</t>
  </si>
  <si>
    <t>free</t>
  </si>
  <si>
    <t>Returns the Derivative of a Piecewise Polynomial (see the spline examples above)</t>
  </si>
  <si>
    <t>https://www.vertex42.com/lambda/scurve.html</t>
  </si>
  <si>
    <t>Create an S-Curve from project task dates and values</t>
  </si>
  <si>
    <t>Examples in a separate template file available on the scurve web page.</t>
  </si>
  <si>
    <t>v 1.0.12</t>
  </si>
  <si>
    <t>CUMULATIVESUM</t>
  </si>
  <si>
    <t>Return a running total (cumulative sum) of the values in array, for each column separately.</t>
  </si>
  <si>
    <t>https://www.vertex42.com/lambda/cumulativesum.html</t>
  </si>
  <si>
    <t>Complex Numbers (Examples found in a different download)</t>
  </si>
  <si>
    <t>Text Manipulation  (See the General tab for examples)</t>
  </si>
  <si>
    <t>Calculus: Finite Differences and Numerical Integration  (See the Calc tab for examples)</t>
  </si>
  <si>
    <t>Polynomials (See the Polynomials tab for examples)</t>
  </si>
  <si>
    <t>Interpolation (See the Polynomials tab for examples)</t>
  </si>
  <si>
    <t>Matrices / Linear Algebra (See the Matrices tab for examples)</t>
  </si>
  <si>
    <t>Arrays (See the Arrays tab for examples)</t>
  </si>
  <si>
    <t>Sequences, Numbering, Grids  (See the General tab for examples)</t>
  </si>
  <si>
    <t>LAMBDA Utility Functions  (See the General tab for examples)</t>
  </si>
  <si>
    <t>Structures  (See the Structures tab for examples)</t>
  </si>
  <si>
    <t>Other Functions  (See the General tab for examples)</t>
  </si>
  <si>
    <t>Using a known polynomial as an example function:</t>
  </si>
  <si>
    <t>(The exact answer)</t>
  </si>
  <si>
    <t>Using 1001 points instead of the above table.</t>
  </si>
  <si>
    <t>https://www.vertex42.com/lambda/simpson.html</t>
  </si>
  <si>
    <t>Composite Simpson's 1/3 Rule for numerical integration of irregularly spaced data</t>
  </si>
  <si>
    <t>f(x) = x/4 * sin(x) + 4</t>
  </si>
  <si>
    <t>F(x) = 4x + sin(x)/4 - 1/4xcos(x) + const</t>
  </si>
  <si>
    <t>Actual:</t>
  </si>
  <si>
    <t>SIMPSON:</t>
  </si>
  <si>
    <t>Error:</t>
  </si>
  <si>
    <t>This is a sentence with seven words.</t>
  </si>
  <si>
    <t>Return a sorted list of all the unique characters in a text string and the frequency of each character.</t>
  </si>
  <si>
    <t>Convert a text string to a row or column of characters. Use dimension to return the result as columns (dimension=1) or rows (dimension=2).</t>
  </si>
  <si>
    <t>Create a sequence of integers or characters between start and end.</t>
  </si>
  <si>
    <t>World</t>
  </si>
  <si>
    <t>Hi</t>
  </si>
  <si>
    <t>(dim=2)</t>
  </si>
  <si>
    <t>empty:</t>
  </si>
  <si>
    <t>PI():</t>
  </si>
  <si>
    <t>Goes to Here</t>
  </si>
  <si>
    <t>https://www.vertex42.com/lambda/bookmark.html</t>
  </si>
  <si>
    <t>Used as the "link_location" in HYPERLINK to jump to a cell in the workbook.</t>
  </si>
  <si>
    <r>
      <t xml:space="preserve">When you copy a cell that uses a LAMBDA from one workbook to another, all of the named ranges, named constants, and named functions referenced by that cell (or from within the associated LAMBDA functions) are also copied into the other workbook. </t>
    </r>
    <r>
      <rPr>
        <b/>
        <sz val="11"/>
        <color theme="1"/>
        <rFont val="Arial"/>
        <family val="2"/>
        <scheme val="minor"/>
      </rPr>
      <t>To copy one function</t>
    </r>
    <r>
      <rPr>
        <sz val="11"/>
        <color theme="1"/>
        <rFont val="Arial"/>
        <family val="2"/>
        <scheme val="minor"/>
      </rPr>
      <t>: Copy the cell containing "</t>
    </r>
    <r>
      <rPr>
        <b/>
        <sz val="11"/>
        <color theme="1"/>
        <rFont val="Arial"/>
        <family val="2"/>
        <scheme val="minor"/>
      </rPr>
      <t>Ctrl+c</t>
    </r>
    <r>
      <rPr>
        <sz val="11"/>
        <color theme="1"/>
        <rFont val="Arial"/>
        <family val="2"/>
        <scheme val="minor"/>
      </rPr>
      <t>" then paste that cell into your workbook.</t>
    </r>
  </si>
  <si>
    <t>POS DEF</t>
  </si>
  <si>
    <t>m_vert</t>
  </si>
  <si>
    <t>n_horiz</t>
  </si>
  <si>
    <t>Added BOOKMARK, AD, CUMULATIVESUM, Updated TEXT2ARRAY to work with arrays of strings, Updated REPARRAY, REPELEM</t>
  </si>
  <si>
    <t>Updated POLYVAL, PPVAL, POLYDER, Added SCURVE, PPDER, NSPLINE, SPLINE, GCD, LCM</t>
  </si>
  <si>
    <t>Updated TRAPZ, Added PPINT, SIMPSON, BYROW2D, BYCOL2D</t>
  </si>
  <si>
    <t>Added TRAPZ, POLYADD, POLYSUB, POLYDIV</t>
  </si>
  <si>
    <t>Added FDIFF and PDIFF</t>
  </si>
  <si>
    <t>Updated PINTERP to include x shift. Added FIBONACCI and DIFF</t>
  </si>
  <si>
    <t>Updated POLYVAL and POLYMULT to work with complex numbers. Changed IM_POLYROOTS to POLYROOTS. Added POLYFROMROOTS and POLYINT.</t>
  </si>
  <si>
    <t>Added EIGENVALUE, ISSYMMETRIC, ISPOSDEF, IM_ISHERMITIAN, IM_POLYROOTS</t>
  </si>
  <si>
    <t>Updated HESS. Added REPLACEBLOCK, SLICE, SPLICE, and CSPLINE, fixed(?) Excel bug with IM_CTRANSPOSE</t>
  </si>
  <si>
    <r>
      <rPr>
        <b/>
        <sz val="11"/>
        <color theme="1"/>
        <rFont val="Arial"/>
        <family val="2"/>
        <scheme val="minor"/>
      </rPr>
      <t>SE</t>
    </r>
    <r>
      <rPr>
        <sz val="11"/>
        <color theme="1"/>
        <rFont val="Arial"/>
        <family val="2"/>
        <scheme val="minor"/>
      </rPr>
      <t>(start,end) :: Create a sequence of integers or characters between start and end</t>
    </r>
  </si>
  <si>
    <r>
      <rPr>
        <b/>
        <sz val="11"/>
        <color theme="1"/>
        <rFont val="Arial"/>
        <family val="2"/>
        <scheme val="minor"/>
      </rPr>
      <t>LINSPACE</t>
    </r>
    <r>
      <rPr>
        <sz val="11"/>
        <color theme="1"/>
        <rFont val="Arial"/>
        <family val="2"/>
        <scheme val="minor"/>
      </rPr>
      <t>(start,end,n) :: Create a vector with n linearly spaced points</t>
    </r>
  </si>
  <si>
    <r>
      <rPr>
        <b/>
        <sz val="11"/>
        <color theme="1"/>
        <rFont val="Arial"/>
        <family val="2"/>
        <scheme val="minor"/>
      </rPr>
      <t>LOGSPACE</t>
    </r>
    <r>
      <rPr>
        <sz val="11"/>
        <color theme="1"/>
        <rFont val="Arial"/>
        <family val="2"/>
        <scheme val="minor"/>
      </rPr>
      <t>(start,end,n) :: Create a vector with n logarithmically spaced points</t>
    </r>
  </si>
  <si>
    <r>
      <rPr>
        <b/>
        <sz val="11"/>
        <color theme="1"/>
        <rFont val="Arial"/>
        <family val="2"/>
        <scheme val="minor"/>
      </rPr>
      <t>RESCALE</t>
    </r>
    <r>
      <rPr>
        <sz val="11"/>
        <color theme="1"/>
        <rFont val="Arial"/>
        <family val="2"/>
        <scheme val="minor"/>
      </rPr>
      <t>(array,lower,upper) :: Returns the array scaled to [lower,upper]</t>
    </r>
  </si>
  <si>
    <r>
      <rPr>
        <b/>
        <sz val="11"/>
        <color theme="1"/>
        <rFont val="Arial"/>
        <family val="2"/>
        <scheme val="minor"/>
      </rPr>
      <t>ISUNIFORM</t>
    </r>
    <r>
      <rPr>
        <sz val="11"/>
        <color theme="1"/>
        <rFont val="Arial"/>
        <family val="2"/>
        <scheme val="minor"/>
      </rPr>
      <t>(vector,precision_n) :: Returns {TRUE;step} if vector is uniformly spaced or {FALSE; MAX(step)-MIN(step)}</t>
    </r>
  </si>
  <si>
    <r>
      <rPr>
        <b/>
        <sz val="11"/>
        <color theme="1"/>
        <rFont val="Arial"/>
        <family val="2"/>
        <scheme val="minor"/>
      </rPr>
      <t>MESHGRID</t>
    </r>
    <r>
      <rPr>
        <sz val="11"/>
        <color theme="1"/>
        <rFont val="Arial"/>
        <family val="2"/>
        <scheme val="minor"/>
      </rPr>
      <t>(xvec,yvec) :: Create a 2D grid of X-Y Coordinates</t>
    </r>
  </si>
  <si>
    <r>
      <rPr>
        <b/>
        <sz val="11"/>
        <color theme="1"/>
        <rFont val="Arial"/>
        <family val="2"/>
        <scheme val="minor"/>
      </rPr>
      <t>FIBONACCI</t>
    </r>
    <r>
      <rPr>
        <sz val="11"/>
        <color theme="1"/>
        <rFont val="Arial"/>
        <family val="2"/>
        <scheme val="minor"/>
      </rPr>
      <t>(n) :: Return the first N values in the Fibonacci sequence</t>
    </r>
  </si>
  <si>
    <r>
      <rPr>
        <b/>
        <sz val="11"/>
        <color theme="1"/>
        <rFont val="Arial"/>
        <family val="2"/>
        <scheme val="minor"/>
      </rPr>
      <t>FLIP</t>
    </r>
    <r>
      <rPr>
        <sz val="11"/>
        <color theme="1"/>
        <rFont val="Arial"/>
        <family val="2"/>
        <scheme val="minor"/>
      </rPr>
      <t>(array,[dimension]) :: Reverses the order of the rows or columns of an array</t>
    </r>
  </si>
  <si>
    <r>
      <rPr>
        <b/>
        <sz val="11"/>
        <color theme="1"/>
        <rFont val="Arial"/>
        <family val="2"/>
        <scheme val="minor"/>
      </rPr>
      <t>FLIPLR</t>
    </r>
    <r>
      <rPr>
        <sz val="11"/>
        <color theme="1"/>
        <rFont val="Arial"/>
        <family val="2"/>
        <scheme val="minor"/>
      </rPr>
      <t>(array) :: Reverses the order of the columns of an array</t>
    </r>
  </si>
  <si>
    <r>
      <rPr>
        <b/>
        <sz val="11"/>
        <color theme="1"/>
        <rFont val="Arial"/>
        <family val="2"/>
        <scheme val="minor"/>
      </rPr>
      <t>FLIPUD</t>
    </r>
    <r>
      <rPr>
        <sz val="11"/>
        <color theme="1"/>
        <rFont val="Arial"/>
        <family val="2"/>
        <scheme val="minor"/>
      </rPr>
      <t>(array) :: Reverses the order of the rows of an array</t>
    </r>
  </si>
  <si>
    <r>
      <rPr>
        <b/>
        <sz val="11"/>
        <color theme="1"/>
        <rFont val="Arial"/>
        <family val="2"/>
        <scheme val="minor"/>
      </rPr>
      <t>ROT90</t>
    </r>
    <r>
      <rPr>
        <sz val="11"/>
        <color theme="1"/>
        <rFont val="Arial"/>
        <family val="2"/>
        <scheme val="minor"/>
      </rPr>
      <t>(array,[n]) :: Rotates the array 90 degrees counterclockwise (not identical to transpose)</t>
    </r>
  </si>
  <si>
    <r>
      <rPr>
        <b/>
        <sz val="11"/>
        <color theme="1"/>
        <rFont val="Arial"/>
        <family val="2"/>
        <scheme val="minor"/>
      </rPr>
      <t>CIRCSHIFT</t>
    </r>
    <r>
      <rPr>
        <sz val="11"/>
        <color theme="1"/>
        <rFont val="Arial"/>
        <family val="2"/>
        <scheme val="minor"/>
      </rPr>
      <t>(array,n,[by_col]) :: Shifts the rows (or columns) of an array n times</t>
    </r>
  </si>
  <si>
    <r>
      <rPr>
        <b/>
        <sz val="11"/>
        <color theme="1"/>
        <rFont val="Arial"/>
        <family val="2"/>
        <scheme val="minor"/>
      </rPr>
      <t>SLICE</t>
    </r>
    <r>
      <rPr>
        <sz val="11"/>
        <color theme="1"/>
        <rFont val="Arial"/>
        <family val="2"/>
        <scheme val="minor"/>
      </rPr>
      <t>(array,row_start,row_end,costart,coend) :: Return a subset of an array by specifying row and column start and end indices</t>
    </r>
  </si>
  <si>
    <r>
      <rPr>
        <b/>
        <sz val="11"/>
        <color theme="1"/>
        <rFont val="Arial"/>
        <family val="2"/>
        <scheme val="minor"/>
      </rPr>
      <t>SPLICE</t>
    </r>
    <r>
      <rPr>
        <sz val="11"/>
        <color theme="1"/>
        <rFont val="Arial"/>
        <family val="2"/>
        <scheme val="minor"/>
      </rPr>
      <t>(array,start_index,delete_count,insert_array,by_col) :: Splice an array to delete or insert rows or columns</t>
    </r>
  </si>
  <si>
    <r>
      <rPr>
        <b/>
        <sz val="11"/>
        <color theme="1"/>
        <rFont val="Arial"/>
        <family val="2"/>
        <scheme val="minor"/>
      </rPr>
      <t>REPARRAY</t>
    </r>
    <r>
      <rPr>
        <sz val="11"/>
        <color theme="1"/>
        <rFont val="Arial"/>
        <family val="2"/>
        <scheme val="minor"/>
      </rPr>
      <t>(array,m_vert,n_horiz) :: Repeat an array m times vertically and n times horizontally</t>
    </r>
  </si>
  <si>
    <r>
      <rPr>
        <b/>
        <sz val="11"/>
        <color theme="1"/>
        <rFont val="Arial"/>
        <family val="2"/>
        <scheme val="minor"/>
      </rPr>
      <t>REPELEM</t>
    </r>
    <r>
      <rPr>
        <sz val="11"/>
        <color theme="1"/>
        <rFont val="Arial"/>
        <family val="2"/>
        <scheme val="minor"/>
      </rPr>
      <t>(array,m_vert,n_horiz) :: Repeat the elements of an array m times vertically and n times horizontally.</t>
    </r>
  </si>
  <si>
    <r>
      <rPr>
        <b/>
        <sz val="11"/>
        <color theme="1"/>
        <rFont val="Arial"/>
        <family val="2"/>
        <scheme val="minor"/>
      </rPr>
      <t>REPLACEBLOCK</t>
    </r>
    <r>
      <rPr>
        <sz val="11"/>
        <color theme="1"/>
        <rFont val="Arial"/>
        <family val="2"/>
        <scheme val="minor"/>
      </rPr>
      <t>(array,i,j,new_block) :: Replace a block within an array by specifying the starting (i,j) location</t>
    </r>
  </si>
  <si>
    <r>
      <rPr>
        <b/>
        <sz val="11"/>
        <color theme="1"/>
        <rFont val="Arial"/>
        <family val="2"/>
        <scheme val="minor"/>
      </rPr>
      <t>COMBINATIONS</t>
    </r>
    <r>
      <rPr>
        <sz val="11"/>
        <color theme="1"/>
        <rFont val="Arial"/>
        <family val="2"/>
        <scheme val="minor"/>
      </rPr>
      <t>(array1,array2) :: Returns an array of all combinations of rows within two arrays</t>
    </r>
  </si>
  <si>
    <r>
      <rPr>
        <b/>
        <sz val="11"/>
        <color theme="1"/>
        <rFont val="Arial"/>
        <family val="2"/>
        <scheme val="minor"/>
      </rPr>
      <t>COMBINR</t>
    </r>
    <r>
      <rPr>
        <sz val="11"/>
        <color theme="1"/>
        <rFont val="Arial"/>
        <family val="2"/>
        <scheme val="minor"/>
      </rPr>
      <t>(array,r) :: Return all the combinations of size r from an nx1 array</t>
    </r>
  </si>
  <si>
    <r>
      <rPr>
        <b/>
        <sz val="11"/>
        <color theme="1"/>
        <rFont val="Arial"/>
        <family val="2"/>
        <scheme val="minor"/>
      </rPr>
      <t>ONES</t>
    </r>
    <r>
      <rPr>
        <sz val="11"/>
        <color theme="1"/>
        <rFont val="Arial"/>
        <family val="2"/>
        <scheme val="minor"/>
      </rPr>
      <t xml:space="preserve">(array), </t>
    </r>
    <r>
      <rPr>
        <b/>
        <sz val="11"/>
        <color theme="1"/>
        <rFont val="Arial"/>
        <family val="2"/>
        <scheme val="minor"/>
      </rPr>
      <t>ONES</t>
    </r>
    <r>
      <rPr>
        <sz val="11"/>
        <color theme="1"/>
        <rFont val="Arial"/>
        <family val="2"/>
        <scheme val="minor"/>
      </rPr>
      <t>(m,[n]) :: Create an array or vector of ones, based on size of array or dimensions m,n</t>
    </r>
  </si>
  <si>
    <r>
      <rPr>
        <b/>
        <sz val="11"/>
        <color theme="1"/>
        <rFont val="Arial"/>
        <family val="2"/>
        <scheme val="minor"/>
      </rPr>
      <t>ZEROS</t>
    </r>
    <r>
      <rPr>
        <sz val="11"/>
        <color theme="1"/>
        <rFont val="Arial"/>
        <family val="2"/>
        <scheme val="minor"/>
      </rPr>
      <t xml:space="preserve">(array), </t>
    </r>
    <r>
      <rPr>
        <b/>
        <sz val="11"/>
        <color theme="1"/>
        <rFont val="Arial"/>
        <family val="2"/>
        <scheme val="minor"/>
      </rPr>
      <t>ZEROS</t>
    </r>
    <r>
      <rPr>
        <sz val="11"/>
        <color theme="1"/>
        <rFont val="Arial"/>
        <family val="2"/>
        <scheme val="minor"/>
      </rPr>
      <t>(m,[n]) :: Create an array or vector of zeros, based on size of array or dimensions m,n</t>
    </r>
  </si>
  <si>
    <r>
      <rPr>
        <b/>
        <sz val="11"/>
        <color theme="1"/>
        <rFont val="Arial"/>
        <family val="2"/>
        <scheme val="minor"/>
      </rPr>
      <t>PASCAL</t>
    </r>
    <r>
      <rPr>
        <sz val="11"/>
        <color theme="1"/>
        <rFont val="Arial"/>
        <family val="2"/>
        <scheme val="minor"/>
      </rPr>
      <t>(n) :: Returns a Pascal matrix of size nxn</t>
    </r>
  </si>
  <si>
    <r>
      <rPr>
        <b/>
        <sz val="11"/>
        <color theme="1"/>
        <rFont val="Arial"/>
        <family val="2"/>
        <scheme val="minor"/>
      </rPr>
      <t>DIAG</t>
    </r>
    <r>
      <rPr>
        <sz val="11"/>
        <color theme="1"/>
        <rFont val="Arial"/>
        <family val="2"/>
        <scheme val="minor"/>
      </rPr>
      <t>(vector_or_matrix) :: Convert a vector to a Diagonal matrix or vice versa</t>
    </r>
  </si>
  <si>
    <r>
      <rPr>
        <b/>
        <sz val="11"/>
        <color theme="1"/>
        <rFont val="Arial"/>
        <family val="2"/>
        <scheme val="minor"/>
      </rPr>
      <t>TRACE</t>
    </r>
    <r>
      <rPr>
        <sz val="11"/>
        <color theme="1"/>
        <rFont val="Arial"/>
        <family val="2"/>
        <scheme val="minor"/>
      </rPr>
      <t>(matrix) :: Returns the sum of the diagonal elements of a square matrix</t>
    </r>
  </si>
  <si>
    <r>
      <rPr>
        <b/>
        <sz val="11"/>
        <color theme="1"/>
        <rFont val="Arial"/>
        <family val="2"/>
        <scheme val="minor"/>
      </rPr>
      <t>ROWSUM</t>
    </r>
    <r>
      <rPr>
        <sz val="11"/>
        <color theme="1"/>
        <rFont val="Arial"/>
        <family val="2"/>
        <scheme val="minor"/>
      </rPr>
      <t>(matrix) :: Returns a column containing the sum of each row</t>
    </r>
  </si>
  <si>
    <r>
      <rPr>
        <b/>
        <sz val="11"/>
        <color theme="1"/>
        <rFont val="Arial"/>
        <family val="2"/>
        <scheme val="minor"/>
      </rPr>
      <t>COLSUM</t>
    </r>
    <r>
      <rPr>
        <sz val="11"/>
        <color theme="1"/>
        <rFont val="Arial"/>
        <family val="2"/>
        <scheme val="minor"/>
      </rPr>
      <t>(matrix) :: Returns a row containing the sum of each column</t>
    </r>
  </si>
  <si>
    <r>
      <rPr>
        <b/>
        <sz val="11"/>
        <color theme="1"/>
        <rFont val="Arial"/>
        <family val="2"/>
        <scheme val="minor"/>
      </rPr>
      <t>ISSYMMETRIC</t>
    </r>
    <r>
      <rPr>
        <sz val="11"/>
        <color theme="1"/>
        <rFont val="Arial"/>
        <family val="2"/>
        <scheme val="minor"/>
      </rPr>
      <t>(matrix) :: Returns TRUE if the matrix is symmetric</t>
    </r>
  </si>
  <si>
    <r>
      <rPr>
        <b/>
        <sz val="11"/>
        <color theme="1"/>
        <rFont val="Arial"/>
        <family val="2"/>
        <scheme val="minor"/>
      </rPr>
      <t>ISPOSDEF</t>
    </r>
    <r>
      <rPr>
        <sz val="11"/>
        <color theme="1"/>
        <rFont val="Arial"/>
        <family val="2"/>
        <scheme val="minor"/>
      </rPr>
      <t>(matrix) :: Returns TRUE if the matrix is positive-definite</t>
    </r>
  </si>
  <si>
    <r>
      <rPr>
        <b/>
        <sz val="11"/>
        <color theme="1"/>
        <rFont val="Arial"/>
        <family val="2"/>
        <scheme val="minor"/>
      </rPr>
      <t>DOT</t>
    </r>
    <r>
      <rPr>
        <sz val="11"/>
        <color theme="1"/>
        <rFont val="Arial"/>
        <family val="2"/>
        <scheme val="minor"/>
      </rPr>
      <t>(a,b) :: Returns the dot product of vectors a and b or the column sum of A*B</t>
    </r>
  </si>
  <si>
    <r>
      <rPr>
        <b/>
        <sz val="11"/>
        <color theme="1"/>
        <rFont val="Arial"/>
        <family val="2"/>
        <scheme val="minor"/>
      </rPr>
      <t>CROSS</t>
    </r>
    <r>
      <rPr>
        <sz val="11"/>
        <color theme="1"/>
        <rFont val="Arial"/>
        <family val="2"/>
        <scheme val="minor"/>
      </rPr>
      <t>(a,b) :: Returns the cross product of vectors a and b</t>
    </r>
  </si>
  <si>
    <r>
      <rPr>
        <b/>
        <sz val="11"/>
        <color theme="1"/>
        <rFont val="Arial"/>
        <family val="2"/>
        <scheme val="minor"/>
      </rPr>
      <t>MAGNITUDE</t>
    </r>
    <r>
      <rPr>
        <sz val="11"/>
        <color theme="1"/>
        <rFont val="Arial"/>
        <family val="2"/>
        <scheme val="minor"/>
      </rPr>
      <t>(a) :: Returns the magnitude of a vector or the magnitude of individual columns of a matrix [Uses COLSUM]</t>
    </r>
  </si>
  <si>
    <r>
      <rPr>
        <b/>
        <sz val="11"/>
        <color theme="1"/>
        <rFont val="Arial"/>
        <family val="2"/>
        <scheme val="minor"/>
      </rPr>
      <t>HESS</t>
    </r>
    <r>
      <rPr>
        <sz val="11"/>
        <color theme="1"/>
        <rFont val="Arial"/>
        <family val="2"/>
        <scheme val="minor"/>
      </rPr>
      <t>(A) :: Returns the Hessenberg of a square matrix using the Householder transformation</t>
    </r>
  </si>
  <si>
    <r>
      <rPr>
        <b/>
        <sz val="11"/>
        <color theme="1"/>
        <rFont val="Arial"/>
        <family val="2"/>
        <scheme val="minor"/>
      </rPr>
      <t>QR</t>
    </r>
    <r>
      <rPr>
        <sz val="11"/>
        <color theme="1"/>
        <rFont val="Arial"/>
        <family val="2"/>
        <scheme val="minor"/>
      </rPr>
      <t>(A) :: Returns the QR Decomposition of A using the Householder transformation process</t>
    </r>
  </si>
  <si>
    <r>
      <rPr>
        <b/>
        <sz val="11"/>
        <color theme="1"/>
        <rFont val="Arial"/>
        <family val="2"/>
        <scheme val="minor"/>
      </rPr>
      <t>CHOLESKY</t>
    </r>
    <r>
      <rPr>
        <sz val="11"/>
        <color theme="1"/>
        <rFont val="Arial"/>
        <family val="2"/>
        <scheme val="minor"/>
      </rPr>
      <t>(A) :: Returns the Cholesky decomposition of a symmetric positive-definite matrix</t>
    </r>
  </si>
  <si>
    <r>
      <rPr>
        <b/>
        <sz val="11"/>
        <color theme="1"/>
        <rFont val="Arial"/>
        <family val="2"/>
        <scheme val="minor"/>
      </rPr>
      <t>EIGENVALUE</t>
    </r>
    <r>
      <rPr>
        <sz val="11"/>
        <color theme="1"/>
        <rFont val="Arial"/>
        <family val="2"/>
        <scheme val="minor"/>
      </rPr>
      <t>(A,iterations) :: Attempts to find eigenvalues of a square matrix with n iterations using a QR algorithm</t>
    </r>
  </si>
  <si>
    <r>
      <rPr>
        <b/>
        <sz val="11"/>
        <color theme="1"/>
        <rFont val="Arial"/>
        <family val="2"/>
        <scheme val="minor"/>
      </rPr>
      <t>LINTERP</t>
    </r>
    <r>
      <rPr>
        <sz val="11"/>
        <color theme="1"/>
        <rFont val="Arial"/>
        <family val="2"/>
        <scheme val="minor"/>
      </rPr>
      <t>(xs,known_xs,known_ys) :: Linearly interpolate between the two nearest points in a table lookup</t>
    </r>
  </si>
  <si>
    <r>
      <rPr>
        <b/>
        <sz val="11"/>
        <color theme="1"/>
        <rFont val="Arial"/>
        <family val="2"/>
        <scheme val="minor"/>
      </rPr>
      <t>PINTERP</t>
    </r>
    <r>
      <rPr>
        <sz val="11"/>
        <color theme="1"/>
        <rFont val="Arial"/>
        <family val="2"/>
        <scheme val="minor"/>
      </rPr>
      <t>(xs,known_xs,known_ys,n) :: Polynomial interpolation between the n+1 closest points in the table [Uses POLYFIT and POLYVAL]</t>
    </r>
  </si>
  <si>
    <r>
      <rPr>
        <b/>
        <sz val="11"/>
        <color theme="1"/>
        <rFont val="Arial"/>
        <family val="2"/>
        <scheme val="minor"/>
      </rPr>
      <t>CSPLINE</t>
    </r>
    <r>
      <rPr>
        <sz val="11"/>
        <color theme="1"/>
        <rFont val="Arial"/>
        <family val="2"/>
        <scheme val="minor"/>
      </rPr>
      <t>(known_xs,known_ys,[x]) :: Cubic Spline - creates and interpolates a cubic piecewise polynomial</t>
    </r>
  </si>
  <si>
    <r>
      <rPr>
        <b/>
        <sz val="11"/>
        <color theme="1"/>
        <rFont val="Arial"/>
        <family val="2"/>
        <scheme val="minor"/>
      </rPr>
      <t>NSPLINE</t>
    </r>
    <r>
      <rPr>
        <sz val="11"/>
        <color theme="1"/>
        <rFont val="Arial"/>
        <family val="2"/>
        <scheme val="minor"/>
      </rPr>
      <t>(known_xs,known_ys,[x]) :: Natural Cubic Spline - Creates a C2 Interpolating Spline with d2y/dx2=0 at the end points</t>
    </r>
  </si>
  <si>
    <r>
      <rPr>
        <b/>
        <sz val="11"/>
        <color theme="1"/>
        <rFont val="Arial"/>
        <family val="2"/>
        <scheme val="minor"/>
      </rPr>
      <t>SPLINE</t>
    </r>
    <r>
      <rPr>
        <sz val="11"/>
        <color theme="1"/>
        <rFont val="Arial"/>
        <family val="2"/>
        <scheme val="minor"/>
      </rPr>
      <t>(known_xs,known_ys,[x],[cond_start],[cond_end]) :: Creates a C2 Interpolating Spline with specified end conditions, using a system of equations</t>
    </r>
  </si>
  <si>
    <r>
      <rPr>
        <b/>
        <sz val="11"/>
        <color theme="1"/>
        <rFont val="Arial"/>
        <family val="2"/>
        <scheme val="minor"/>
      </rPr>
      <t>POLYFIT</t>
    </r>
    <r>
      <rPr>
        <sz val="11"/>
        <color theme="1"/>
        <rFont val="Arial"/>
        <family val="2"/>
        <scheme val="minor"/>
      </rPr>
      <t>(known_xs,known_ys,n) :: Returns the coefficients for the nth-degree polynomial fit using LINEST</t>
    </r>
  </si>
  <si>
    <r>
      <rPr>
        <b/>
        <sz val="11"/>
        <color theme="1"/>
        <rFont val="Arial"/>
        <family val="2"/>
        <scheme val="minor"/>
      </rPr>
      <t>POLYVAL</t>
    </r>
    <r>
      <rPr>
        <sz val="11"/>
        <color theme="1"/>
        <rFont val="Arial"/>
        <family val="2"/>
        <scheme val="minor"/>
      </rPr>
      <t>(coeffs,x) :: Evalutes the nth-degree polynomial p(x) at each value of x</t>
    </r>
  </si>
  <si>
    <r>
      <rPr>
        <b/>
        <sz val="11"/>
        <color theme="1"/>
        <rFont val="Arial"/>
        <family val="2"/>
        <scheme val="minor"/>
      </rPr>
      <t>POLYDER</t>
    </r>
    <r>
      <rPr>
        <sz val="11"/>
        <color theme="1"/>
        <rFont val="Arial"/>
        <family val="2"/>
        <scheme val="minor"/>
      </rPr>
      <t>(coeffs) :: Returns the derivative of the polynomial defined by coefficients in descending order of power.</t>
    </r>
  </si>
  <si>
    <r>
      <rPr>
        <b/>
        <sz val="11"/>
        <color theme="1"/>
        <rFont val="Arial"/>
        <family val="2"/>
        <scheme val="minor"/>
      </rPr>
      <t>POLYINT</t>
    </r>
    <r>
      <rPr>
        <sz val="11"/>
        <color theme="1"/>
        <rFont val="Arial"/>
        <family val="2"/>
        <scheme val="minor"/>
      </rPr>
      <t>(coeffs,[k],[a],[b]) :: Returns the integral of the polynomial with integration constant k, optionally evaluated from a to b</t>
    </r>
  </si>
  <si>
    <r>
      <rPr>
        <b/>
        <sz val="11"/>
        <color theme="1"/>
        <rFont val="Arial"/>
        <family val="2"/>
        <scheme val="minor"/>
      </rPr>
      <t>POLYADD</t>
    </r>
    <r>
      <rPr>
        <sz val="11"/>
        <color theme="1"/>
        <rFont val="Arial"/>
        <family val="2"/>
        <scheme val="minor"/>
      </rPr>
      <t>(a,b) :: Add two polynomials, a + b = c</t>
    </r>
  </si>
  <si>
    <r>
      <rPr>
        <b/>
        <sz val="11"/>
        <color theme="1"/>
        <rFont val="Arial"/>
        <family val="2"/>
        <scheme val="minor"/>
      </rPr>
      <t>POLYSUB</t>
    </r>
    <r>
      <rPr>
        <sz val="11"/>
        <color theme="1"/>
        <rFont val="Arial"/>
        <family val="2"/>
        <scheme val="minor"/>
      </rPr>
      <t>(a,b) :: Subtract two polynomials, a - b = c</t>
    </r>
  </si>
  <si>
    <r>
      <rPr>
        <b/>
        <sz val="11"/>
        <color theme="1"/>
        <rFont val="Arial"/>
        <family val="2"/>
        <scheme val="minor"/>
      </rPr>
      <t>POLYMULT</t>
    </r>
    <r>
      <rPr>
        <sz val="11"/>
        <color theme="1"/>
        <rFont val="Arial"/>
        <family val="2"/>
        <scheme val="minor"/>
      </rPr>
      <t>(a,b) :: Returns the coefficients of the polynomial found by multiplying polynomials a and b.</t>
    </r>
  </si>
  <si>
    <r>
      <rPr>
        <b/>
        <sz val="11"/>
        <color theme="1"/>
        <rFont val="Arial"/>
        <family val="2"/>
        <scheme val="minor"/>
      </rPr>
      <t>POLYDIV</t>
    </r>
    <r>
      <rPr>
        <sz val="11"/>
        <color theme="1"/>
        <rFont val="Arial"/>
        <family val="2"/>
        <scheme val="minor"/>
      </rPr>
      <t>(a,b) :: Polynomial long division, returns the quotient and remainder of a / b.</t>
    </r>
  </si>
  <si>
    <r>
      <rPr>
        <b/>
        <sz val="11"/>
        <color theme="1"/>
        <rFont val="Arial"/>
        <family val="2"/>
        <scheme val="minor"/>
      </rPr>
      <t>POLYCOMPAN</t>
    </r>
    <r>
      <rPr>
        <sz val="11"/>
        <color theme="1"/>
        <rFont val="Arial"/>
        <family val="2"/>
        <scheme val="minor"/>
      </rPr>
      <t>(coeffs) :: Returns the companion matrix for a polynomial defined by coeffs</t>
    </r>
  </si>
  <si>
    <r>
      <rPr>
        <b/>
        <sz val="11"/>
        <color theme="1"/>
        <rFont val="Arial"/>
        <family val="2"/>
        <scheme val="minor"/>
      </rPr>
      <t>POLYROOTS</t>
    </r>
    <r>
      <rPr>
        <sz val="11"/>
        <color theme="1"/>
        <rFont val="Arial"/>
        <family val="2"/>
        <scheme val="minor"/>
      </rPr>
      <t>(coeffs) :: Find all the real and complex roots of a polynomial using the Weierstrauss method</t>
    </r>
  </si>
  <si>
    <r>
      <rPr>
        <b/>
        <sz val="11"/>
        <color theme="1"/>
        <rFont val="Arial"/>
        <family val="2"/>
        <scheme val="minor"/>
      </rPr>
      <t>POLYFROMROOTS</t>
    </r>
    <r>
      <rPr>
        <sz val="11"/>
        <color theme="1"/>
        <rFont val="Arial"/>
        <family val="2"/>
        <scheme val="minor"/>
      </rPr>
      <t>(roots) :: Create a monic polynomial from a vector of roots</t>
    </r>
  </si>
  <si>
    <r>
      <rPr>
        <b/>
        <sz val="11"/>
        <color theme="1"/>
        <rFont val="Arial"/>
        <family val="2"/>
        <scheme val="minor"/>
      </rPr>
      <t>PPVAL</t>
    </r>
    <r>
      <rPr>
        <sz val="11"/>
        <color theme="1"/>
        <rFont val="Arial"/>
        <family val="2"/>
        <scheme val="minor"/>
      </rPr>
      <t>(pp_array,xvec) :: Evaluate a Piecewise Polynomial at each value of x</t>
    </r>
  </si>
  <si>
    <r>
      <rPr>
        <b/>
        <sz val="11"/>
        <color theme="1"/>
        <rFont val="Arial"/>
        <family val="2"/>
        <scheme val="minor"/>
      </rPr>
      <t>PPINT</t>
    </r>
    <r>
      <rPr>
        <sz val="11"/>
        <color theme="1"/>
        <rFont val="Arial"/>
        <family val="2"/>
        <scheme val="minor"/>
      </rPr>
      <t>(pp_array,[a],[b],[cumulative]) :: Definite Integral of a Piecewise Polynomial from a to b</t>
    </r>
  </si>
  <si>
    <r>
      <rPr>
        <b/>
        <sz val="11"/>
        <color theme="1"/>
        <rFont val="Arial"/>
        <family val="2"/>
        <scheme val="minor"/>
      </rPr>
      <t>PPDER</t>
    </r>
    <r>
      <rPr>
        <sz val="11"/>
        <color theme="1"/>
        <rFont val="Arial"/>
        <family val="2"/>
        <scheme val="minor"/>
      </rPr>
      <t>(pp_array) :: Returns the derivative of a Piecewise Polynomial as another piecewise polynomial</t>
    </r>
  </si>
  <si>
    <r>
      <rPr>
        <b/>
        <sz val="11"/>
        <color theme="1"/>
        <rFont val="Arial"/>
        <family val="2"/>
        <scheme val="minor"/>
      </rPr>
      <t>DIFF</t>
    </r>
    <r>
      <rPr>
        <sz val="11"/>
        <color theme="1"/>
        <rFont val="Arial"/>
        <family val="2"/>
        <scheme val="minor"/>
      </rPr>
      <t>(x) :: Calculate the difference between adjacent values of a column vector</t>
    </r>
  </si>
  <si>
    <r>
      <rPr>
        <b/>
        <sz val="11"/>
        <color theme="1"/>
        <rFont val="Arial"/>
        <family val="2"/>
        <scheme val="minor"/>
      </rPr>
      <t>FDIFF</t>
    </r>
    <r>
      <rPr>
        <sz val="11"/>
        <color theme="1"/>
        <rFont val="Arial"/>
        <family val="2"/>
        <scheme val="minor"/>
      </rPr>
      <t>(ys,h,nth_deriv) :: Calculate the n-th Finite Difference Derivative assuming uniform spacing h</t>
    </r>
  </si>
  <si>
    <r>
      <rPr>
        <b/>
        <sz val="11"/>
        <color theme="1"/>
        <rFont val="Arial"/>
        <family val="2"/>
        <scheme val="minor"/>
      </rPr>
      <t>PDIFF</t>
    </r>
    <r>
      <rPr>
        <sz val="11"/>
        <color theme="1"/>
        <rFont val="Arial"/>
        <family val="2"/>
        <scheme val="minor"/>
      </rPr>
      <t>(xs,ys,nth_deriv,order) :: Polynomial-based Finite Difference Derivatives for uneven spacing</t>
    </r>
  </si>
  <si>
    <r>
      <rPr>
        <b/>
        <sz val="11"/>
        <color theme="1"/>
        <rFont val="Arial"/>
        <family val="2"/>
        <scheme val="minor"/>
      </rPr>
      <t>TRAPZ</t>
    </r>
    <r>
      <rPr>
        <sz val="11"/>
        <color theme="1"/>
        <rFont val="Arial"/>
        <family val="2"/>
        <scheme val="minor"/>
      </rPr>
      <t>(y,[x],[dx]) :: Numerical Integration using the Trapezoidal Rule</t>
    </r>
  </si>
  <si>
    <r>
      <rPr>
        <b/>
        <sz val="11"/>
        <color theme="1"/>
        <rFont val="Arial"/>
        <family val="2"/>
        <scheme val="minor"/>
      </rPr>
      <t>SIMPSON</t>
    </r>
    <r>
      <rPr>
        <sz val="11"/>
        <color theme="1"/>
        <rFont val="Arial"/>
        <family val="2"/>
        <scheme val="minor"/>
      </rPr>
      <t>(y,[x],[dx]) :: Numerical Integration using composite Simpson's 1/3 Rule</t>
    </r>
  </si>
  <si>
    <r>
      <rPr>
        <b/>
        <sz val="11"/>
        <color theme="1"/>
        <rFont val="Arial"/>
        <family val="2"/>
        <scheme val="minor"/>
      </rPr>
      <t>COUNTCHAR</t>
    </r>
    <r>
      <rPr>
        <sz val="11"/>
        <color theme="1"/>
        <rFont val="Arial"/>
        <family val="2"/>
        <scheme val="minor"/>
      </rPr>
      <t>(text,char) :: Count the number of instances of a character or string within text</t>
    </r>
  </si>
  <si>
    <r>
      <rPr>
        <b/>
        <sz val="11"/>
        <color theme="1"/>
        <rFont val="Arial"/>
        <family val="2"/>
        <scheme val="minor"/>
      </rPr>
      <t>REMOVECHARS</t>
    </r>
    <r>
      <rPr>
        <sz val="11"/>
        <color theme="1"/>
        <rFont val="Arial"/>
        <family val="2"/>
        <scheme val="minor"/>
      </rPr>
      <t>(text,chars) :: Removes all of the characters in chars (individually) from text.</t>
    </r>
  </si>
  <si>
    <r>
      <rPr>
        <b/>
        <sz val="11"/>
        <color theme="1"/>
        <rFont val="Arial"/>
        <family val="2"/>
        <scheme val="minor"/>
      </rPr>
      <t>TEXT2ARRAY</t>
    </r>
    <r>
      <rPr>
        <sz val="11"/>
        <color theme="1"/>
        <rFont val="Arial"/>
        <family val="2"/>
        <scheme val="minor"/>
      </rPr>
      <t>(text,dimension) :: Convert a text string to a row or column of characters</t>
    </r>
  </si>
  <si>
    <r>
      <rPr>
        <b/>
        <sz val="11"/>
        <color theme="1"/>
        <rFont val="Arial"/>
        <family val="2"/>
        <scheme val="minor"/>
      </rPr>
      <t>ROMAN2INT</t>
    </r>
    <r>
      <rPr>
        <sz val="11"/>
        <color theme="1"/>
        <rFont val="Arial"/>
        <family val="2"/>
        <scheme val="minor"/>
      </rPr>
      <t>(text) :: Convert a Roman numeral like XLII to a decimal integer</t>
    </r>
  </si>
  <si>
    <r>
      <rPr>
        <b/>
        <sz val="11"/>
        <color theme="1"/>
        <rFont val="Arial"/>
        <family val="2"/>
        <scheme val="minor"/>
      </rPr>
      <t>QUADRATIC</t>
    </r>
    <r>
      <rPr>
        <sz val="11"/>
        <color theme="1"/>
        <rFont val="Arial"/>
        <family val="2"/>
        <scheme val="minor"/>
      </rPr>
      <t>(coeffs) :: Uses the quadratic formula to solve ax^2+bx+c=0</t>
    </r>
  </si>
  <si>
    <r>
      <rPr>
        <b/>
        <sz val="11"/>
        <color theme="1"/>
        <rFont val="Arial"/>
        <family val="2"/>
        <scheme val="minor"/>
      </rPr>
      <t>TIMER</t>
    </r>
    <r>
      <rPr>
        <sz val="11"/>
        <color theme="1"/>
        <rFont val="Arial"/>
        <family val="2"/>
        <scheme val="minor"/>
      </rPr>
      <t>(n_iterations,LAMBDA(i, expression)) :: Runs the expression n times in sequence and returns the time in ms.</t>
    </r>
  </si>
  <si>
    <r>
      <rPr>
        <b/>
        <sz val="11"/>
        <color theme="1"/>
        <rFont val="Arial"/>
        <family val="2"/>
        <scheme val="minor"/>
      </rPr>
      <t>BYROW2D</t>
    </r>
    <r>
      <rPr>
        <sz val="11"/>
        <color theme="1"/>
        <rFont val="Arial"/>
        <family val="2"/>
        <scheme val="minor"/>
      </rPr>
      <t>(array,LAMBDA(row, expression)) :: Like BYROW, but can return a multi-column array instead of just a single column</t>
    </r>
  </si>
  <si>
    <r>
      <rPr>
        <b/>
        <sz val="11"/>
        <color theme="1"/>
        <rFont val="Arial"/>
        <family val="2"/>
        <scheme val="minor"/>
      </rPr>
      <t>BYCOL2D</t>
    </r>
    <r>
      <rPr>
        <sz val="11"/>
        <color theme="1"/>
        <rFont val="Arial"/>
        <family val="2"/>
        <scheme val="minor"/>
      </rPr>
      <t>(array,LAMBDA(col, expression)) :: Like BYCOL, but can return a multi-row array instead of just a single row</t>
    </r>
  </si>
  <si>
    <r>
      <rPr>
        <b/>
        <sz val="11"/>
        <color theme="1"/>
        <rFont val="Arial"/>
        <family val="2"/>
        <scheme val="minor"/>
      </rPr>
      <t>SFROUND</t>
    </r>
    <r>
      <rPr>
        <sz val="11"/>
        <color theme="1"/>
        <rFont val="Arial"/>
        <family val="2"/>
        <scheme val="minor"/>
      </rPr>
      <t>(value,sig_figs,[round_opt]) :: Round a value to a number of significant figures</t>
    </r>
  </si>
  <si>
    <r>
      <rPr>
        <b/>
        <sz val="11"/>
        <color theme="1"/>
        <rFont val="Arial"/>
        <family val="2"/>
        <scheme val="minor"/>
      </rPr>
      <t>SCURVE</t>
    </r>
    <r>
      <rPr>
        <sz val="11"/>
        <color theme="1"/>
        <rFont val="Arial"/>
        <family val="2"/>
        <scheme val="minor"/>
      </rPr>
      <t>(startdates,enddates,values) :: Create an S-Curve from project task dates and values</t>
    </r>
  </si>
  <si>
    <r>
      <rPr>
        <b/>
        <sz val="11"/>
        <color theme="1"/>
        <rFont val="Arial"/>
        <family val="2"/>
        <scheme val="minor"/>
      </rPr>
      <t>CUMULATIVESUM</t>
    </r>
    <r>
      <rPr>
        <sz val="11"/>
        <color theme="1"/>
        <rFont val="Arial"/>
        <family val="2"/>
        <scheme val="minor"/>
      </rPr>
      <t>(array) :: Returns a running total of the values in array (cumulative sum)</t>
    </r>
  </si>
  <si>
    <r>
      <rPr>
        <b/>
        <sz val="11"/>
        <color theme="1"/>
        <rFont val="Arial"/>
        <family val="2"/>
        <scheme val="minor"/>
      </rPr>
      <t>BOOKMARK</t>
    </r>
    <r>
      <rPr>
        <sz val="11"/>
        <color theme="1"/>
        <rFont val="Arial"/>
        <family val="2"/>
        <scheme val="minor"/>
      </rPr>
      <t>(cell) :: Used as the "link_location" in HYPERLINK to jump to a cell in the workbook</t>
    </r>
  </si>
  <si>
    <r>
      <rPr>
        <b/>
        <sz val="11"/>
        <color theme="1"/>
        <rFont val="Arial"/>
        <family val="2"/>
        <scheme val="minor"/>
      </rPr>
      <t>AD</t>
    </r>
    <r>
      <rPr>
        <sz val="11"/>
        <color theme="1"/>
        <rFont val="Arial"/>
        <family val="2"/>
        <scheme val="minor"/>
      </rPr>
      <t>(cell,[abs_num],[a1_r1c1],[include_sheetname]) :: A shortcut version of ADDRESS</t>
    </r>
  </si>
  <si>
    <r>
      <rPr>
        <b/>
        <sz val="18"/>
        <color theme="5" tint="-0.249977111117893"/>
        <rFont val="Arial"/>
        <family val="2"/>
        <scheme val="minor"/>
      </rPr>
      <t>L.</t>
    </r>
    <r>
      <rPr>
        <sz val="18"/>
        <color theme="4" tint="-0.249977111117893"/>
        <rFont val="Arial"/>
        <family val="2"/>
        <scheme val="minor"/>
      </rPr>
      <t>FUNCTIONNAME</t>
    </r>
  </si>
  <si>
    <r>
      <t>IMPORTANT:</t>
    </r>
    <r>
      <rPr>
        <sz val="11"/>
        <color theme="1"/>
        <rFont val="Arial"/>
        <family val="2"/>
        <scheme val="minor"/>
      </rPr>
      <t xml:space="preserve"> If you import the gist into a New Module, a module you named "BB8" for example, then all of the functions defined in that module will have names beginning with "BB8." So a function with the name "MYFUN" would become "BB8.MYFUN" when you want to use it in an Excel formula. This workbook imported the library into a module named "L" so each function become "L.MYFUN" when used in a formula.</t>
    </r>
  </si>
  <si>
    <t>All Functions:</t>
  </si>
  <si>
    <r>
      <t xml:space="preserve">4) Go to Modules and click on the </t>
    </r>
    <r>
      <rPr>
        <b/>
        <sz val="11"/>
        <color theme="1"/>
        <rFont val="Arial"/>
        <family val="2"/>
        <scheme val="minor"/>
      </rPr>
      <t>Cloud icon</t>
    </r>
    <r>
      <rPr>
        <sz val="11"/>
        <color theme="1"/>
        <rFont val="Arial"/>
        <family val="2"/>
        <scheme val="minor"/>
      </rPr>
      <t xml:space="preserve"> to import from URL</t>
    </r>
  </si>
  <si>
    <r>
      <rPr>
        <b/>
        <sz val="11"/>
        <color theme="1"/>
        <rFont val="Arial"/>
        <family val="2"/>
        <scheme val="minor"/>
      </rPr>
      <t>Step 3</t>
    </r>
    <r>
      <rPr>
        <sz val="11"/>
        <color theme="1"/>
        <rFont val="Arial"/>
        <family val="2"/>
        <scheme val="minor"/>
      </rPr>
      <t>: Check the "Add formulas to a new module" option, and enter a Module name (e.g. "L" or "LL")</t>
    </r>
  </si>
  <si>
    <r>
      <rPr>
        <b/>
        <sz val="11"/>
        <color theme="1"/>
        <rFont val="Arial"/>
        <family val="2"/>
        <scheme val="minor"/>
      </rPr>
      <t>Step 4</t>
    </r>
    <r>
      <rPr>
        <sz val="11"/>
        <color theme="1"/>
        <rFont val="Arial"/>
        <family val="2"/>
        <scheme val="minor"/>
      </rPr>
      <t xml:space="preserve">: Click on </t>
    </r>
    <r>
      <rPr>
        <b/>
        <sz val="11"/>
        <color theme="1"/>
        <rFont val="Arial"/>
        <family val="2"/>
        <scheme val="minor"/>
      </rPr>
      <t>Import</t>
    </r>
    <r>
      <rPr>
        <sz val="11"/>
        <color theme="1"/>
        <rFont val="Arial"/>
        <family val="2"/>
        <scheme val="minor"/>
      </rPr>
      <t xml:space="preserve"> button, then click on the </t>
    </r>
    <r>
      <rPr>
        <b/>
        <sz val="11"/>
        <color theme="1"/>
        <rFont val="Arial"/>
        <family val="2"/>
        <scheme val="minor"/>
      </rPr>
      <t>Save</t>
    </r>
    <r>
      <rPr>
        <sz val="11"/>
        <color theme="1"/>
        <rFont val="Arial"/>
        <family val="2"/>
        <scheme val="minor"/>
      </rPr>
      <t xml:space="preserve"> icon.</t>
    </r>
  </si>
  <si>
    <r>
      <rPr>
        <b/>
        <sz val="11"/>
        <color theme="1"/>
        <rFont val="Arial"/>
        <family val="2"/>
        <scheme val="minor"/>
      </rPr>
      <t>Step 5</t>
    </r>
    <r>
      <rPr>
        <sz val="11"/>
        <color theme="1"/>
        <rFont val="Arial"/>
        <family val="2"/>
        <scheme val="minor"/>
      </rPr>
      <t xml:space="preserve">: View the saved Lambdas via </t>
    </r>
    <r>
      <rPr>
        <b/>
        <sz val="11"/>
        <color theme="1"/>
        <rFont val="Arial"/>
        <family val="2"/>
        <scheme val="minor"/>
      </rPr>
      <t>Formulas &gt; Name Manager</t>
    </r>
    <r>
      <rPr>
        <sz val="11"/>
        <color theme="1"/>
        <rFont val="Arial"/>
        <family val="2"/>
        <scheme val="minor"/>
      </rPr>
      <t xml:space="preserve">, or press </t>
    </r>
    <r>
      <rPr>
        <b/>
        <sz val="11"/>
        <color theme="1"/>
        <rFont val="Arial"/>
        <family val="2"/>
        <scheme val="minor"/>
      </rPr>
      <t>F3</t>
    </r>
  </si>
  <si>
    <r>
      <t xml:space="preserve">The LAMBDA functions in this workbook exist in an </t>
    </r>
    <r>
      <rPr>
        <b/>
        <sz val="11"/>
        <color theme="1"/>
        <rFont val="Arial"/>
        <family val="2"/>
        <scheme val="minor"/>
      </rPr>
      <t>Excel Labs</t>
    </r>
    <r>
      <rPr>
        <sz val="11"/>
        <color theme="1"/>
        <rFont val="Arial"/>
        <family val="2"/>
        <scheme val="minor"/>
      </rPr>
      <t xml:space="preserve"> module named "L". This is why you precede each of the function names with "</t>
    </r>
    <r>
      <rPr>
        <b/>
        <sz val="11"/>
        <color theme="5" tint="-0.249977111117893"/>
        <rFont val="Arial"/>
        <family val="2"/>
        <scheme val="minor"/>
      </rPr>
      <t>L.</t>
    </r>
    <r>
      <rPr>
        <sz val="11"/>
        <color theme="1"/>
        <rFont val="Arial"/>
        <family val="2"/>
        <scheme val="minor"/>
      </rPr>
      <t xml:space="preserve">" when using them in a formula. This also conveniently allows you to type </t>
    </r>
    <r>
      <rPr>
        <b/>
        <sz val="11"/>
        <color theme="5" tint="-0.249977111117893"/>
        <rFont val="Arial"/>
        <family val="2"/>
        <scheme val="minor"/>
      </rPr>
      <t>=L.</t>
    </r>
    <r>
      <rPr>
        <sz val="11"/>
        <color theme="1"/>
        <rFont val="Arial"/>
        <family val="2"/>
        <scheme val="minor"/>
      </rPr>
      <t xml:space="preserve"> to see the list of all of the available lambda functions.</t>
    </r>
  </si>
  <si>
    <t>SCURVE(startdates,enddates,values)</t>
  </si>
  <si>
    <r>
      <t>AD(</t>
    </r>
    <r>
      <rPr>
        <sz val="18"/>
        <color theme="3"/>
        <rFont val="Arial"/>
        <family val="2"/>
        <scheme val="minor"/>
      </rPr>
      <t>cell,[abs_num],[a1_r1c1],[include_sheetname]</t>
    </r>
    <r>
      <rPr>
        <b/>
        <sz val="18"/>
        <color theme="3"/>
        <rFont val="Arial"/>
        <family val="2"/>
        <scheme val="minor"/>
      </rPr>
      <t>)</t>
    </r>
  </si>
  <si>
    <r>
      <t>BOOKMARK(</t>
    </r>
    <r>
      <rPr>
        <sz val="18"/>
        <color theme="3"/>
        <rFont val="Arial"/>
        <family val="2"/>
        <scheme val="minor"/>
      </rPr>
      <t>cell</t>
    </r>
    <r>
      <rPr>
        <b/>
        <sz val="18"/>
        <color theme="3"/>
        <rFont val="Arial"/>
        <family val="2"/>
        <scheme val="minor"/>
      </rPr>
      <t>)</t>
    </r>
  </si>
  <si>
    <t>A shortcut (alternative) version of the ADDRESS function. [include_sheetname] is TRUE or FALSE. Similar to BOOKMARK, but with more options.</t>
  </si>
  <si>
    <r>
      <t>BYROW2D(</t>
    </r>
    <r>
      <rPr>
        <sz val="18"/>
        <color theme="3"/>
        <rFont val="Arial"/>
        <family val="2"/>
        <scheme val="minor"/>
      </rPr>
      <t xml:space="preserve">array, LAMBDA(row, expression) </t>
    </r>
    <r>
      <rPr>
        <b/>
        <sz val="18"/>
        <color theme="3"/>
        <rFont val="Arial"/>
        <family val="2"/>
        <scheme val="minor"/>
      </rPr>
      <t>) &amp; BYCOL2D</t>
    </r>
  </si>
  <si>
    <r>
      <t>TIMER(</t>
    </r>
    <r>
      <rPr>
        <sz val="18"/>
        <color theme="3"/>
        <rFont val="Arial"/>
        <family val="2"/>
        <scheme val="minor"/>
      </rPr>
      <t xml:space="preserve">n_iterations, LAMBDA(i, expression) </t>
    </r>
    <r>
      <rPr>
        <b/>
        <sz val="18"/>
        <color theme="3"/>
        <rFont val="Arial"/>
        <family val="2"/>
        <scheme val="minor"/>
      </rPr>
      <t>)</t>
    </r>
  </si>
  <si>
    <t>Note: For fast functions, it may require 1000s of iterations before TIMER returns a value other than 0.</t>
  </si>
  <si>
    <r>
      <t>COUNTCHAR(</t>
    </r>
    <r>
      <rPr>
        <sz val="18"/>
        <color theme="3"/>
        <rFont val="Arial"/>
        <family val="2"/>
        <scheme val="minor"/>
      </rPr>
      <t>char,within_text</t>
    </r>
    <r>
      <rPr>
        <b/>
        <sz val="18"/>
        <color theme="3"/>
        <rFont val="Arial"/>
        <family val="2"/>
        <scheme val="minor"/>
      </rPr>
      <t>)</t>
    </r>
  </si>
  <si>
    <r>
      <t>TEXT2ARRAY(</t>
    </r>
    <r>
      <rPr>
        <sz val="18"/>
        <color theme="3"/>
        <rFont val="Arial"/>
        <family val="2"/>
        <scheme val="minor"/>
      </rPr>
      <t>text,[dimension]</t>
    </r>
    <r>
      <rPr>
        <b/>
        <sz val="18"/>
        <color theme="3"/>
        <rFont val="Arial"/>
        <family val="2"/>
        <scheme val="minor"/>
      </rPr>
      <t>)</t>
    </r>
  </si>
  <si>
    <r>
      <t>ROMAN2INT(</t>
    </r>
    <r>
      <rPr>
        <sz val="18"/>
        <color theme="3"/>
        <rFont val="Arial"/>
        <family val="2"/>
        <scheme val="minor"/>
      </rPr>
      <t>text</t>
    </r>
    <r>
      <rPr>
        <b/>
        <sz val="18"/>
        <color theme="3"/>
        <rFont val="Arial"/>
        <family val="2"/>
        <scheme val="minor"/>
      </rPr>
      <t>)</t>
    </r>
  </si>
  <si>
    <r>
      <t>CUMULATIVESUM(</t>
    </r>
    <r>
      <rPr>
        <sz val="18"/>
        <color theme="3"/>
        <rFont val="Arial"/>
        <family val="2"/>
        <scheme val="minor"/>
      </rPr>
      <t>array</t>
    </r>
    <r>
      <rPr>
        <b/>
        <sz val="18"/>
        <color theme="3"/>
        <rFont val="Arial"/>
        <family val="2"/>
        <scheme val="minor"/>
      </rPr>
      <t>)</t>
    </r>
  </si>
  <si>
    <r>
      <t>SFROUND(</t>
    </r>
    <r>
      <rPr>
        <sz val="18"/>
        <color theme="3"/>
        <rFont val="Arial"/>
        <family val="2"/>
        <scheme val="minor"/>
      </rPr>
      <t>value,sig_figs,[round_opt]</t>
    </r>
    <r>
      <rPr>
        <b/>
        <sz val="18"/>
        <color theme="3"/>
        <rFont val="Arial"/>
        <family val="2"/>
        <scheme val="minor"/>
      </rPr>
      <t>)</t>
    </r>
  </si>
  <si>
    <r>
      <t>POLYVAL(</t>
    </r>
    <r>
      <rPr>
        <sz val="18"/>
        <color theme="3"/>
        <rFont val="Arial"/>
        <family val="2"/>
        <scheme val="minor"/>
      </rPr>
      <t>coeffs,x</t>
    </r>
    <r>
      <rPr>
        <b/>
        <sz val="18"/>
        <color theme="3"/>
        <rFont val="Arial"/>
        <family val="2"/>
        <scheme val="minor"/>
      </rPr>
      <t>)</t>
    </r>
  </si>
  <si>
    <r>
      <t>POLYFIT(</t>
    </r>
    <r>
      <rPr>
        <sz val="18"/>
        <color theme="3"/>
        <rFont val="Arial"/>
        <family val="2"/>
        <scheme val="minor"/>
      </rPr>
      <t>known_xs,known_ys,n</t>
    </r>
    <r>
      <rPr>
        <b/>
        <sz val="18"/>
        <color theme="3"/>
        <rFont val="Arial"/>
        <family val="2"/>
        <scheme val="minor"/>
      </rPr>
      <t>)</t>
    </r>
  </si>
  <si>
    <t>POLYVAL</t>
  </si>
  <si>
    <r>
      <t>LINTERP(</t>
    </r>
    <r>
      <rPr>
        <sz val="18"/>
        <color theme="3"/>
        <rFont val="Arial"/>
        <family val="2"/>
        <scheme val="minor"/>
      </rPr>
      <t>x,known_xs,known_ys</t>
    </r>
    <r>
      <rPr>
        <b/>
        <sz val="18"/>
        <color theme="3"/>
        <rFont val="Arial"/>
        <family val="2"/>
        <scheme val="minor"/>
      </rPr>
      <t>)</t>
    </r>
  </si>
  <si>
    <r>
      <t>PINTERP(</t>
    </r>
    <r>
      <rPr>
        <sz val="18"/>
        <color theme="3"/>
        <rFont val="Arial"/>
        <family val="2"/>
        <scheme val="minor"/>
      </rPr>
      <t>x,known_xs,known_ys,n</t>
    </r>
    <r>
      <rPr>
        <b/>
        <sz val="18"/>
        <color theme="3"/>
        <rFont val="Arial"/>
        <family val="2"/>
        <scheme val="minor"/>
      </rPr>
      <t>)</t>
    </r>
  </si>
  <si>
    <t>POLYINT, using polynomials from the POLYDER example above.</t>
  </si>
  <si>
    <t>Using POLYINT</t>
  </si>
  <si>
    <t>Using POLYVAL</t>
  </si>
  <si>
    <r>
      <t>POLYADD(</t>
    </r>
    <r>
      <rPr>
        <sz val="18"/>
        <color theme="3"/>
        <rFont val="Arial"/>
        <family val="2"/>
        <scheme val="minor"/>
      </rPr>
      <t>a,b,[drop_leading_zeros]</t>
    </r>
    <r>
      <rPr>
        <b/>
        <sz val="18"/>
        <color theme="3"/>
        <rFont val="Arial"/>
        <family val="2"/>
        <scheme val="minor"/>
      </rPr>
      <t>)</t>
    </r>
  </si>
  <si>
    <r>
      <t>POLYSUB(</t>
    </r>
    <r>
      <rPr>
        <sz val="18"/>
        <color theme="3"/>
        <rFont val="Arial"/>
        <family val="2"/>
        <scheme val="minor"/>
      </rPr>
      <t>a,b,[drop_leading_zeros]</t>
    </r>
    <r>
      <rPr>
        <b/>
        <sz val="18"/>
        <color theme="3"/>
        <rFont val="Arial"/>
        <family val="2"/>
        <scheme val="minor"/>
      </rPr>
      <t>)</t>
    </r>
  </si>
  <si>
    <r>
      <t>POLYMULT(</t>
    </r>
    <r>
      <rPr>
        <sz val="18"/>
        <color theme="3"/>
        <rFont val="Arial"/>
        <family val="2"/>
        <scheme val="minor"/>
      </rPr>
      <t>a,b</t>
    </r>
    <r>
      <rPr>
        <b/>
        <sz val="18"/>
        <color theme="3"/>
        <rFont val="Arial"/>
        <family val="2"/>
        <scheme val="minor"/>
      </rPr>
      <t>)</t>
    </r>
  </si>
  <si>
    <r>
      <t>POLYINT(</t>
    </r>
    <r>
      <rPr>
        <sz val="18"/>
        <color theme="3"/>
        <rFont val="Arial"/>
        <family val="2"/>
        <scheme val="minor"/>
      </rPr>
      <t>coeffs,[k],[a],[b]</t>
    </r>
    <r>
      <rPr>
        <b/>
        <sz val="18"/>
        <color theme="3"/>
        <rFont val="Arial"/>
        <family val="2"/>
        <scheme val="minor"/>
      </rPr>
      <t>)</t>
    </r>
  </si>
  <si>
    <r>
      <t>POLYDER(</t>
    </r>
    <r>
      <rPr>
        <sz val="18"/>
        <color theme="3"/>
        <rFont val="Arial"/>
        <family val="2"/>
        <scheme val="minor"/>
      </rPr>
      <t>coeffs</t>
    </r>
    <r>
      <rPr>
        <b/>
        <sz val="18"/>
        <color theme="3"/>
        <rFont val="Arial"/>
        <family val="2"/>
        <scheme val="minor"/>
      </rPr>
      <t>)</t>
    </r>
  </si>
  <si>
    <r>
      <t>POLYDIV(</t>
    </r>
    <r>
      <rPr>
        <sz val="18"/>
        <color theme="3"/>
        <rFont val="Arial"/>
        <family val="2"/>
        <scheme val="minor"/>
      </rPr>
      <t>a,b</t>
    </r>
    <r>
      <rPr>
        <b/>
        <sz val="18"/>
        <color theme="3"/>
        <rFont val="Arial"/>
        <family val="2"/>
        <scheme val="minor"/>
      </rPr>
      <t>)</t>
    </r>
  </si>
  <si>
    <r>
      <t>POLYCOMPAN(</t>
    </r>
    <r>
      <rPr>
        <sz val="18"/>
        <color theme="3"/>
        <rFont val="Arial"/>
        <family val="2"/>
        <scheme val="minor"/>
      </rPr>
      <t>coeffs</t>
    </r>
    <r>
      <rPr>
        <b/>
        <sz val="18"/>
        <color theme="3"/>
        <rFont val="Arial"/>
        <family val="2"/>
        <scheme val="minor"/>
      </rPr>
      <t>)</t>
    </r>
  </si>
  <si>
    <r>
      <t>PPVAL(</t>
    </r>
    <r>
      <rPr>
        <sz val="18"/>
        <color theme="3"/>
        <rFont val="Arial"/>
        <family val="2"/>
        <scheme val="minor"/>
      </rPr>
      <t>pp_array,xvec</t>
    </r>
    <r>
      <rPr>
        <b/>
        <sz val="18"/>
        <color theme="3"/>
        <rFont val="Arial"/>
        <family val="2"/>
        <scheme val="minor"/>
      </rPr>
      <t>)</t>
    </r>
  </si>
  <si>
    <r>
      <t>CSPLINE(</t>
    </r>
    <r>
      <rPr>
        <sz val="18"/>
        <color theme="3"/>
        <rFont val="Arial"/>
        <family val="2"/>
        <scheme val="minor"/>
      </rPr>
      <t>known_xs,known_ys,[x],[ms],[c]</t>
    </r>
    <r>
      <rPr>
        <b/>
        <sz val="18"/>
        <color theme="3"/>
        <rFont val="Arial"/>
        <family val="2"/>
        <scheme val="minor"/>
      </rPr>
      <t>)</t>
    </r>
  </si>
  <si>
    <r>
      <t>NSPLINE(</t>
    </r>
    <r>
      <rPr>
        <sz val="18"/>
        <color theme="3"/>
        <rFont val="Arial"/>
        <family val="2"/>
        <scheme val="minor"/>
      </rPr>
      <t>known_xs,known_ys,[x]</t>
    </r>
    <r>
      <rPr>
        <b/>
        <sz val="18"/>
        <color theme="3"/>
        <rFont val="Arial"/>
        <family val="2"/>
        <scheme val="minor"/>
      </rPr>
      <t>)</t>
    </r>
  </si>
  <si>
    <r>
      <t>SPLINE(</t>
    </r>
    <r>
      <rPr>
        <sz val="18"/>
        <color theme="3"/>
        <rFont val="Arial"/>
        <family val="2"/>
        <scheme val="minor"/>
      </rPr>
      <t>known_xs,known_ys,[x],[cond_start],[cond_end],[debug]</t>
    </r>
    <r>
      <rPr>
        <b/>
        <sz val="18"/>
        <color theme="3"/>
        <rFont val="Arial"/>
        <family val="2"/>
        <scheme val="minor"/>
      </rPr>
      <t>)</t>
    </r>
  </si>
  <si>
    <r>
      <t>PPDER(</t>
    </r>
    <r>
      <rPr>
        <sz val="18"/>
        <color theme="3"/>
        <rFont val="Arial"/>
        <family val="2"/>
        <scheme val="minor"/>
      </rPr>
      <t>pp_array</t>
    </r>
    <r>
      <rPr>
        <b/>
        <sz val="18"/>
        <color theme="3"/>
        <rFont val="Arial"/>
        <family val="2"/>
        <scheme val="minor"/>
      </rPr>
      <t>)</t>
    </r>
  </si>
  <si>
    <r>
      <t>PPINT(</t>
    </r>
    <r>
      <rPr>
        <sz val="18"/>
        <color theme="3"/>
        <rFont val="Arial"/>
        <family val="2"/>
        <scheme val="minor"/>
      </rPr>
      <t>pp_array,[a],[b],[cumulative]</t>
    </r>
    <r>
      <rPr>
        <b/>
        <sz val="18"/>
        <color theme="3"/>
        <rFont val="Arial"/>
        <family val="2"/>
        <scheme val="minor"/>
      </rPr>
      <t>)</t>
    </r>
  </si>
  <si>
    <r>
      <t>QUADRATIC(</t>
    </r>
    <r>
      <rPr>
        <sz val="18"/>
        <color theme="3"/>
        <rFont val="Arial"/>
        <family val="2"/>
        <scheme val="minor"/>
      </rPr>
      <t>coeffs</t>
    </r>
    <r>
      <rPr>
        <b/>
        <sz val="18"/>
        <color theme="3"/>
        <rFont val="Arial"/>
        <family val="2"/>
        <scheme val="minor"/>
      </rPr>
      <t>)</t>
    </r>
  </si>
  <si>
    <r>
      <t>POLYROOTS(</t>
    </r>
    <r>
      <rPr>
        <sz val="18"/>
        <color theme="3"/>
        <rFont val="Arial"/>
        <family val="2"/>
        <scheme val="minor"/>
      </rPr>
      <t>coeffs</t>
    </r>
    <r>
      <rPr>
        <b/>
        <sz val="18"/>
        <color theme="3"/>
        <rFont val="Arial"/>
        <family val="2"/>
        <scheme val="minor"/>
      </rPr>
      <t>)</t>
    </r>
  </si>
  <si>
    <t>Requires: CIRCSHIFT, POLYVAL</t>
  </si>
  <si>
    <r>
      <t>POLYFROMROOTS(</t>
    </r>
    <r>
      <rPr>
        <sz val="18"/>
        <color theme="3"/>
        <rFont val="Arial"/>
        <family val="2"/>
        <scheme val="minor"/>
      </rPr>
      <t>roots</t>
    </r>
    <r>
      <rPr>
        <b/>
        <sz val="18"/>
        <color theme="3"/>
        <rFont val="Arial"/>
        <family val="2"/>
        <scheme val="minor"/>
      </rPr>
      <t>)</t>
    </r>
  </si>
  <si>
    <t>Requires: POLYMULT</t>
  </si>
  <si>
    <r>
      <t>FIBONACCI(</t>
    </r>
    <r>
      <rPr>
        <sz val="18"/>
        <color theme="3"/>
        <rFont val="Arial"/>
        <family val="2"/>
        <scheme val="minor"/>
      </rPr>
      <t>n,[sequence_tf]</t>
    </r>
    <r>
      <rPr>
        <b/>
        <sz val="18"/>
        <color theme="3"/>
        <rFont val="Arial"/>
        <family val="2"/>
        <scheme val="minor"/>
      </rPr>
      <t>)</t>
    </r>
  </si>
  <si>
    <r>
      <t>RESCALE(</t>
    </r>
    <r>
      <rPr>
        <sz val="18"/>
        <color theme="3"/>
        <rFont val="Arial"/>
        <family val="2"/>
        <scheme val="minor"/>
      </rPr>
      <t>array,lower,upper</t>
    </r>
    <r>
      <rPr>
        <b/>
        <sz val="18"/>
        <color theme="3"/>
        <rFont val="Arial"/>
        <family val="2"/>
        <scheme val="minor"/>
      </rPr>
      <t>)</t>
    </r>
  </si>
  <si>
    <r>
      <t>MESHGRID(</t>
    </r>
    <r>
      <rPr>
        <sz val="18"/>
        <color theme="3"/>
        <rFont val="Arial"/>
        <family val="2"/>
        <scheme val="minor"/>
      </rPr>
      <t>xvec,yvec,[return_option]</t>
    </r>
    <r>
      <rPr>
        <b/>
        <sz val="18"/>
        <color theme="3"/>
        <rFont val="Arial"/>
        <family val="2"/>
        <scheme val="minor"/>
      </rPr>
      <t>)</t>
    </r>
  </si>
  <si>
    <r>
      <t>LOGSPACE(</t>
    </r>
    <r>
      <rPr>
        <sz val="18"/>
        <color theme="3"/>
        <rFont val="Arial"/>
        <family val="2"/>
        <scheme val="minor"/>
      </rPr>
      <t>start,end,n</t>
    </r>
    <r>
      <rPr>
        <b/>
        <sz val="18"/>
        <color theme="3"/>
        <rFont val="Arial"/>
        <family val="2"/>
        <scheme val="minor"/>
      </rPr>
      <t>)</t>
    </r>
  </si>
  <si>
    <r>
      <t>LINSPACE(</t>
    </r>
    <r>
      <rPr>
        <sz val="18"/>
        <color theme="3"/>
        <rFont val="Arial"/>
        <family val="2"/>
        <scheme val="minor"/>
      </rPr>
      <t>start,end,n</t>
    </r>
    <r>
      <rPr>
        <b/>
        <sz val="18"/>
        <color theme="3"/>
        <rFont val="Arial"/>
        <family val="2"/>
        <scheme val="minor"/>
      </rPr>
      <t>)</t>
    </r>
  </si>
  <si>
    <r>
      <t>SE(</t>
    </r>
    <r>
      <rPr>
        <sz val="18"/>
        <color theme="3"/>
        <rFont val="Arial"/>
        <family val="2"/>
        <scheme val="minor"/>
      </rPr>
      <t>start,end</t>
    </r>
    <r>
      <rPr>
        <b/>
        <sz val="18"/>
        <color theme="3"/>
        <rFont val="Arial"/>
        <family val="2"/>
        <scheme val="minor"/>
      </rPr>
      <t>)</t>
    </r>
  </si>
  <si>
    <r>
      <t>FLIP(</t>
    </r>
    <r>
      <rPr>
        <sz val="18"/>
        <color theme="3"/>
        <rFont val="Arial"/>
        <family val="2"/>
        <scheme val="minor"/>
      </rPr>
      <t>array,[dimension]</t>
    </r>
    <r>
      <rPr>
        <b/>
        <sz val="18"/>
        <color theme="3"/>
        <rFont val="Arial"/>
        <family val="2"/>
        <scheme val="minor"/>
      </rPr>
      <t>), FLIPLR(</t>
    </r>
    <r>
      <rPr>
        <sz val="18"/>
        <color theme="3"/>
        <rFont val="Arial"/>
        <family val="2"/>
        <scheme val="minor"/>
      </rPr>
      <t>array</t>
    </r>
    <r>
      <rPr>
        <b/>
        <sz val="18"/>
        <color theme="3"/>
        <rFont val="Arial"/>
        <family val="2"/>
        <scheme val="minor"/>
      </rPr>
      <t>), FLIPUD(</t>
    </r>
    <r>
      <rPr>
        <sz val="18"/>
        <color theme="3"/>
        <rFont val="Arial"/>
        <family val="2"/>
        <scheme val="minor"/>
      </rPr>
      <t>array</t>
    </r>
    <r>
      <rPr>
        <b/>
        <sz val="18"/>
        <color theme="3"/>
        <rFont val="Arial"/>
        <family val="2"/>
        <scheme val="minor"/>
      </rPr>
      <t>)</t>
    </r>
  </si>
  <si>
    <r>
      <t>CIRCSHIFT(</t>
    </r>
    <r>
      <rPr>
        <sz val="18"/>
        <color theme="3"/>
        <rFont val="Arial"/>
        <family val="2"/>
        <scheme val="minor"/>
      </rPr>
      <t>array,n,[dimension]</t>
    </r>
    <r>
      <rPr>
        <b/>
        <sz val="18"/>
        <color theme="3"/>
        <rFont val="Arial"/>
        <family val="2"/>
        <scheme val="minor"/>
      </rPr>
      <t>)</t>
    </r>
  </si>
  <si>
    <t>Function Names - Purposefully similar to Matlab and SciPy</t>
  </si>
  <si>
    <t>Uses L.COLSUM</t>
  </si>
  <si>
    <t>L.QR</t>
  </si>
  <si>
    <t>L.EIGENVALUE(matrix,iterations,"test")</t>
  </si>
  <si>
    <r>
      <t>CHOLESKY(</t>
    </r>
    <r>
      <rPr>
        <sz val="18"/>
        <color theme="3"/>
        <rFont val="Arial"/>
        <family val="2"/>
        <scheme val="minor"/>
      </rPr>
      <t>matrix</t>
    </r>
    <r>
      <rPr>
        <b/>
        <sz val="18"/>
        <color theme="3"/>
        <rFont val="Arial"/>
        <family val="2"/>
        <scheme val="minor"/>
      </rPr>
      <t>)</t>
    </r>
  </si>
  <si>
    <r>
      <t>EIGENVALUE(</t>
    </r>
    <r>
      <rPr>
        <sz val="18"/>
        <color theme="3"/>
        <rFont val="Arial"/>
        <family val="2"/>
        <scheme val="minor"/>
      </rPr>
      <t>matrix,iterations,[output_form],[use_hess]</t>
    </r>
    <r>
      <rPr>
        <b/>
        <sz val="18"/>
        <color theme="3"/>
        <rFont val="Arial"/>
        <family val="2"/>
        <scheme val="minor"/>
      </rPr>
      <t>)</t>
    </r>
  </si>
  <si>
    <r>
      <t>QR(</t>
    </r>
    <r>
      <rPr>
        <sz val="18"/>
        <color theme="3"/>
        <rFont val="Arial"/>
        <family val="2"/>
        <scheme val="minor"/>
      </rPr>
      <t>matrix</t>
    </r>
    <r>
      <rPr>
        <b/>
        <sz val="18"/>
        <color theme="3"/>
        <rFont val="Arial"/>
        <family val="2"/>
        <scheme val="minor"/>
      </rPr>
      <t>)</t>
    </r>
  </si>
  <si>
    <r>
      <t>HESS(</t>
    </r>
    <r>
      <rPr>
        <sz val="18"/>
        <color theme="3"/>
        <rFont val="Arial"/>
        <family val="2"/>
        <scheme val="minor"/>
      </rPr>
      <t>matrix</t>
    </r>
    <r>
      <rPr>
        <b/>
        <sz val="18"/>
        <color theme="3"/>
        <rFont val="Arial"/>
        <family val="2"/>
        <scheme val="minor"/>
      </rPr>
      <t>)</t>
    </r>
  </si>
  <si>
    <r>
      <t>PASCAL(</t>
    </r>
    <r>
      <rPr>
        <sz val="18"/>
        <color theme="3"/>
        <rFont val="Arial"/>
        <family val="2"/>
        <scheme val="minor"/>
      </rPr>
      <t>n,[type]</t>
    </r>
    <r>
      <rPr>
        <b/>
        <sz val="18"/>
        <color theme="3"/>
        <rFont val="Arial"/>
        <family val="2"/>
        <scheme val="minor"/>
      </rPr>
      <t>)</t>
    </r>
  </si>
  <si>
    <r>
      <t>CROSS(</t>
    </r>
    <r>
      <rPr>
        <sz val="18"/>
        <color theme="3"/>
        <rFont val="Arial"/>
        <family val="2"/>
        <scheme val="minor"/>
      </rPr>
      <t>vec_a,vec_b</t>
    </r>
    <r>
      <rPr>
        <b/>
        <sz val="18"/>
        <color theme="3"/>
        <rFont val="Arial"/>
        <family val="2"/>
        <scheme val="minor"/>
      </rPr>
      <t>)</t>
    </r>
  </si>
  <si>
    <r>
      <t>DOT(</t>
    </r>
    <r>
      <rPr>
        <sz val="18"/>
        <color theme="3"/>
        <rFont val="Arial"/>
        <family val="2"/>
        <scheme val="minor"/>
      </rPr>
      <t>a,b</t>
    </r>
    <r>
      <rPr>
        <b/>
        <sz val="18"/>
        <color theme="3"/>
        <rFont val="Arial"/>
        <family val="2"/>
        <scheme val="minor"/>
      </rPr>
      <t>)</t>
    </r>
  </si>
  <si>
    <r>
      <t>MAGNITUDE(</t>
    </r>
    <r>
      <rPr>
        <sz val="18"/>
        <color theme="3"/>
        <rFont val="Arial"/>
        <family val="2"/>
        <scheme val="minor"/>
      </rPr>
      <t>array</t>
    </r>
    <r>
      <rPr>
        <b/>
        <sz val="18"/>
        <color theme="3"/>
        <rFont val="Arial"/>
        <family val="2"/>
        <scheme val="minor"/>
      </rPr>
      <t>)</t>
    </r>
  </si>
  <si>
    <r>
      <t>ROWSUM(</t>
    </r>
    <r>
      <rPr>
        <sz val="18"/>
        <color theme="3"/>
        <rFont val="Arial"/>
        <family val="2"/>
        <scheme val="minor"/>
      </rPr>
      <t>range</t>
    </r>
    <r>
      <rPr>
        <b/>
        <sz val="18"/>
        <color theme="3"/>
        <rFont val="Arial"/>
        <family val="2"/>
        <scheme val="minor"/>
      </rPr>
      <t>), COLSUM(</t>
    </r>
    <r>
      <rPr>
        <sz val="18"/>
        <color theme="3"/>
        <rFont val="Arial"/>
        <family val="2"/>
        <scheme val="minor"/>
      </rPr>
      <t>range</t>
    </r>
    <r>
      <rPr>
        <b/>
        <sz val="18"/>
        <color theme="3"/>
        <rFont val="Arial"/>
        <family val="2"/>
        <scheme val="minor"/>
      </rPr>
      <t>)</t>
    </r>
  </si>
  <si>
    <r>
      <t>ISSYMMETRIC(</t>
    </r>
    <r>
      <rPr>
        <sz val="18"/>
        <color theme="3"/>
        <rFont val="Arial"/>
        <family val="2"/>
        <scheme val="minor"/>
      </rPr>
      <t>matrix</t>
    </r>
    <r>
      <rPr>
        <b/>
        <sz val="18"/>
        <color theme="3"/>
        <rFont val="Arial"/>
        <family val="2"/>
        <scheme val="minor"/>
      </rPr>
      <t>)</t>
    </r>
  </si>
  <si>
    <r>
      <t>TRACE(</t>
    </r>
    <r>
      <rPr>
        <sz val="18"/>
        <color theme="3"/>
        <rFont val="Arial"/>
        <family val="2"/>
        <scheme val="minor"/>
      </rPr>
      <t>array</t>
    </r>
    <r>
      <rPr>
        <b/>
        <sz val="18"/>
        <color theme="3"/>
        <rFont val="Arial"/>
        <family val="2"/>
        <scheme val="minor"/>
      </rPr>
      <t>)</t>
    </r>
  </si>
  <si>
    <r>
      <t>DIAG(</t>
    </r>
    <r>
      <rPr>
        <sz val="18"/>
        <color theme="3"/>
        <rFont val="Arial"/>
        <family val="2"/>
        <scheme val="minor"/>
      </rPr>
      <t>array</t>
    </r>
    <r>
      <rPr>
        <b/>
        <sz val="18"/>
        <color theme="3"/>
        <rFont val="Arial"/>
        <family val="2"/>
        <scheme val="minor"/>
      </rPr>
      <t>)</t>
    </r>
  </si>
  <si>
    <r>
      <t>ONES(</t>
    </r>
    <r>
      <rPr>
        <sz val="18"/>
        <color theme="3"/>
        <rFont val="Arial"/>
        <family val="2"/>
        <scheme val="minor"/>
      </rPr>
      <t>m,[n]</t>
    </r>
    <r>
      <rPr>
        <b/>
        <sz val="18"/>
        <color theme="3"/>
        <rFont val="Arial"/>
        <family val="2"/>
        <scheme val="minor"/>
      </rPr>
      <t>), ZEROS(</t>
    </r>
    <r>
      <rPr>
        <sz val="18"/>
        <color theme="3"/>
        <rFont val="Arial"/>
        <family val="2"/>
        <scheme val="minor"/>
      </rPr>
      <t>m,[n]</t>
    </r>
    <r>
      <rPr>
        <b/>
        <sz val="18"/>
        <color theme="3"/>
        <rFont val="Arial"/>
        <family val="2"/>
        <scheme val="minor"/>
      </rPr>
      <t>)</t>
    </r>
  </si>
  <si>
    <r>
      <t>SIMPSON(</t>
    </r>
    <r>
      <rPr>
        <sz val="18"/>
        <color theme="3"/>
        <rFont val="Arial"/>
        <family val="2"/>
        <scheme val="minor"/>
      </rPr>
      <t>y,[x],[dx],[cumulative]</t>
    </r>
    <r>
      <rPr>
        <b/>
        <sz val="18"/>
        <color theme="3"/>
        <rFont val="Arial"/>
        <family val="2"/>
        <scheme val="minor"/>
      </rPr>
      <t>)</t>
    </r>
  </si>
  <si>
    <r>
      <t>TRAPZ(</t>
    </r>
    <r>
      <rPr>
        <sz val="18"/>
        <color theme="3"/>
        <rFont val="Arial"/>
        <family val="2"/>
        <scheme val="minor"/>
      </rPr>
      <t>y,[x],[dx],[cumulative]</t>
    </r>
    <r>
      <rPr>
        <b/>
        <sz val="18"/>
        <color theme="3"/>
        <rFont val="Arial"/>
        <family val="2"/>
        <scheme val="minor"/>
      </rPr>
      <t>)</t>
    </r>
  </si>
  <si>
    <r>
      <t>PDIFF(</t>
    </r>
    <r>
      <rPr>
        <sz val="18"/>
        <color theme="3"/>
        <rFont val="Arial"/>
        <family val="2"/>
        <scheme val="minor"/>
      </rPr>
      <t>xs,ys,nth_deriv,order</t>
    </r>
    <r>
      <rPr>
        <b/>
        <sz val="18"/>
        <color theme="3"/>
        <rFont val="Arial"/>
        <family val="2"/>
        <scheme val="minor"/>
      </rPr>
      <t>)</t>
    </r>
  </si>
  <si>
    <r>
      <t>FDIFF(</t>
    </r>
    <r>
      <rPr>
        <sz val="18"/>
        <color theme="3"/>
        <rFont val="Arial"/>
        <family val="2"/>
        <scheme val="minor"/>
      </rPr>
      <t>ys,h,n</t>
    </r>
    <r>
      <rPr>
        <b/>
        <sz val="18"/>
        <color theme="3"/>
        <rFont val="Arial"/>
        <family val="2"/>
        <scheme val="minor"/>
      </rPr>
      <t>)</t>
    </r>
  </si>
  <si>
    <r>
      <t>DIFF(</t>
    </r>
    <r>
      <rPr>
        <sz val="18"/>
        <color theme="3"/>
        <rFont val="Arial"/>
        <family val="2"/>
        <scheme val="minor"/>
      </rPr>
      <t>x,[n]</t>
    </r>
    <r>
      <rPr>
        <b/>
        <sz val="18"/>
        <color theme="3"/>
        <rFont val="Arial"/>
        <family val="2"/>
        <scheme val="minor"/>
      </rPr>
      <t>)</t>
    </r>
  </si>
  <si>
    <r>
      <t>ROT_90(</t>
    </r>
    <r>
      <rPr>
        <sz val="18"/>
        <color theme="3"/>
        <rFont val="Arial"/>
        <family val="2"/>
        <scheme val="minor"/>
      </rPr>
      <t>array,[n]</t>
    </r>
    <r>
      <rPr>
        <b/>
        <sz val="18"/>
        <color theme="3"/>
        <rFont val="Arial"/>
        <family val="2"/>
        <scheme val="minor"/>
      </rPr>
      <t>)</t>
    </r>
  </si>
  <si>
    <r>
      <t>COMBINR(</t>
    </r>
    <r>
      <rPr>
        <sz val="18"/>
        <color theme="3"/>
        <rFont val="Arial"/>
        <family val="2"/>
        <scheme val="minor"/>
      </rPr>
      <t>array,k</t>
    </r>
    <r>
      <rPr>
        <b/>
        <sz val="18"/>
        <color theme="3"/>
        <rFont val="Arial"/>
        <family val="2"/>
        <scheme val="minor"/>
      </rPr>
      <t>)</t>
    </r>
  </si>
  <si>
    <r>
      <t>REPLACEBLOCK(</t>
    </r>
    <r>
      <rPr>
        <sz val="18"/>
        <color theme="3"/>
        <rFont val="Arial"/>
        <family val="2"/>
        <scheme val="minor"/>
      </rPr>
      <t>array,i,j,new_block</t>
    </r>
    <r>
      <rPr>
        <b/>
        <sz val="18"/>
        <color theme="3"/>
        <rFont val="Arial"/>
        <family val="2"/>
        <scheme val="minor"/>
      </rPr>
      <t>)</t>
    </r>
  </si>
  <si>
    <r>
      <t>SPLICE(</t>
    </r>
    <r>
      <rPr>
        <sz val="18"/>
        <color theme="3"/>
        <rFont val="Arial"/>
        <family val="2"/>
        <scheme val="minor"/>
      </rPr>
      <t>array,start_index,delete_count,[insert_array],[by_col]</t>
    </r>
    <r>
      <rPr>
        <b/>
        <sz val="18"/>
        <color theme="3"/>
        <rFont val="Arial"/>
        <family val="2"/>
        <scheme val="minor"/>
      </rPr>
      <t>)</t>
    </r>
  </si>
  <si>
    <r>
      <t>SLICE(</t>
    </r>
    <r>
      <rPr>
        <sz val="18"/>
        <color theme="3"/>
        <rFont val="Arial"/>
        <family val="2"/>
        <scheme val="minor"/>
      </rPr>
      <t>array,row_start,row_end,[col_start],[col_end]</t>
    </r>
    <r>
      <rPr>
        <b/>
        <sz val="18"/>
        <color theme="3"/>
        <rFont val="Arial"/>
        <family val="2"/>
        <scheme val="minor"/>
      </rPr>
      <t>)</t>
    </r>
  </si>
  <si>
    <r>
      <t>REPELEM(</t>
    </r>
    <r>
      <rPr>
        <sz val="18"/>
        <color theme="3"/>
        <rFont val="Arial"/>
        <family val="2"/>
        <scheme val="minor"/>
      </rPr>
      <t>array,m_vert,n_horiz</t>
    </r>
    <r>
      <rPr>
        <b/>
        <sz val="18"/>
        <color theme="3"/>
        <rFont val="Arial"/>
        <family val="2"/>
        <scheme val="minor"/>
      </rPr>
      <t>)</t>
    </r>
  </si>
  <si>
    <r>
      <t>REPARRAY(</t>
    </r>
    <r>
      <rPr>
        <sz val="18"/>
        <color theme="3"/>
        <rFont val="Arial"/>
        <family val="2"/>
        <scheme val="minor"/>
      </rPr>
      <t>array,m_vert,n_horiz</t>
    </r>
    <r>
      <rPr>
        <b/>
        <sz val="18"/>
        <color theme="3"/>
        <rFont val="Arial"/>
        <family val="2"/>
        <scheme val="minor"/>
      </rPr>
      <t>)</t>
    </r>
  </si>
  <si>
    <t>v 1.1.0</t>
  </si>
  <si>
    <t>Changed naming convention: Removed "L_" from beginning of function names. Renamed ROT90 to ROT_90. Changed defaults for REPARRAY &amp; REPELEM to 1.</t>
  </si>
  <si>
    <r>
      <t>Use the arrow bookmarks (</t>
    </r>
    <r>
      <rPr>
        <b/>
        <sz val="11"/>
        <color theme="4" tint="-0.249977111117893"/>
        <rFont val="Arial"/>
        <family val="2"/>
        <scheme val="minor"/>
      </rPr>
      <t>►</t>
    </r>
    <r>
      <rPr>
        <sz val="11"/>
        <color theme="1"/>
        <rFont val="Arial"/>
        <family val="2"/>
        <scheme val="minor"/>
      </rPr>
      <t xml:space="preserve">) to jump to examples. Press </t>
    </r>
    <r>
      <rPr>
        <b/>
        <sz val="11"/>
        <color theme="1"/>
        <rFont val="Arial"/>
        <family val="2"/>
        <scheme val="minor"/>
      </rPr>
      <t>CTRL+Down</t>
    </r>
    <r>
      <rPr>
        <sz val="11"/>
        <color theme="1"/>
        <rFont val="Arial"/>
        <family val="2"/>
        <scheme val="minor"/>
      </rPr>
      <t xml:space="preserve"> or </t>
    </r>
    <r>
      <rPr>
        <b/>
        <sz val="11"/>
        <color theme="1"/>
        <rFont val="Arial"/>
        <family val="2"/>
        <scheme val="minor"/>
      </rPr>
      <t>CTRL+Up</t>
    </r>
    <r>
      <rPr>
        <sz val="11"/>
        <color theme="1"/>
        <rFont val="Arial"/>
        <family val="2"/>
        <scheme val="minor"/>
      </rPr>
      <t xml:space="preserve"> in column A to quickly go to the next example. Press </t>
    </r>
    <r>
      <rPr>
        <b/>
        <sz val="11"/>
        <color theme="1"/>
        <rFont val="Arial"/>
        <family val="2"/>
        <scheme val="minor"/>
      </rPr>
      <t>CTRL+HOME</t>
    </r>
    <r>
      <rPr>
        <sz val="11"/>
        <color theme="1"/>
        <rFont val="Arial"/>
        <family val="2"/>
        <scheme val="minor"/>
      </rPr>
      <t xml:space="preserve"> to return to the top of the worksheet. Press </t>
    </r>
    <r>
      <rPr>
        <b/>
        <sz val="11"/>
        <color theme="1"/>
        <rFont val="Arial"/>
        <family val="2"/>
        <scheme val="minor"/>
      </rPr>
      <t>Ctrl+g,Enter</t>
    </r>
    <r>
      <rPr>
        <sz val="11"/>
        <color theme="1"/>
        <rFont val="Arial"/>
        <family val="2"/>
        <scheme val="minor"/>
      </rPr>
      <t xml:space="preserve"> to return to your previous location.</t>
    </r>
  </si>
  <si>
    <t>v 1.1.1</t>
  </si>
  <si>
    <t>Hello😃World</t>
  </si>
  <si>
    <t>Hello</t>
  </si>
  <si>
    <t>NOTE: Some unicode characters may be a single character, but the LEN() function thinks it is 2 characters.</t>
  </si>
  <si>
    <t>😃</t>
  </si>
  <si>
    <t>LEN:</t>
  </si>
  <si>
    <t>Credit to Diarmuid Early for identifying this issue:</t>
  </si>
  <si>
    <t>https://www.youtube.com/watch?v=257yIalp5DU</t>
  </si>
  <si>
    <t>Updated TEXT2ARRAY formula uses REGEXEXTRACT to correct this bug.</t>
  </si>
  <si>
    <r>
      <t>Circularly Shift Rows</t>
    </r>
    <r>
      <rPr>
        <sz val="11"/>
        <color theme="1"/>
        <rFont val="Arial"/>
        <family val="2"/>
        <scheme val="minor"/>
      </rPr>
      <t xml:space="preserve"> (dimension=1)</t>
    </r>
  </si>
  <si>
    <r>
      <t>Circularly Shift Columns</t>
    </r>
    <r>
      <rPr>
        <sz val="11"/>
        <color theme="1"/>
        <rFont val="Arial"/>
        <family val="2"/>
        <scheme val="minor"/>
      </rPr>
      <t xml:space="preserve"> (dimension=2)</t>
    </r>
  </si>
  <si>
    <t>CIRCSHIFT(array,1)</t>
  </si>
  <si>
    <t>CIRCSHIFT(array,1,2)</t>
  </si>
  <si>
    <r>
      <t>PERMUTATIONS(</t>
    </r>
    <r>
      <rPr>
        <sz val="18"/>
        <color theme="3"/>
        <rFont val="Arial"/>
        <family val="2"/>
        <scheme val="minor"/>
      </rPr>
      <t>array,n_chosen</t>
    </r>
    <r>
      <rPr>
        <b/>
        <sz val="18"/>
        <color theme="3"/>
        <rFont val="Arial"/>
        <family val="2"/>
        <scheme val="minor"/>
      </rPr>
      <t>)</t>
    </r>
  </si>
  <si>
    <t>https://www.vertex42.com/lambda/permutations.html</t>
  </si>
  <si>
    <t>Permutations of values in an array chosen n at a time with repetition</t>
  </si>
  <si>
    <t>N Chosen</t>
  </si>
  <si>
    <t>Total</t>
  </si>
  <si>
    <t>😀</t>
  </si>
  <si>
    <t>🪙</t>
  </si>
  <si>
    <t xml:space="preserve"> PERMUTATIONS( array, 4)</t>
  </si>
  <si>
    <r>
      <rPr>
        <b/>
        <sz val="11"/>
        <color theme="1"/>
        <rFont val="Arial"/>
        <family val="2"/>
        <scheme val="minor"/>
      </rPr>
      <t>TRIMRANGE</t>
    </r>
    <r>
      <rPr>
        <sz val="11"/>
        <color theme="1"/>
        <rFont val="Arial"/>
        <family val="2"/>
        <scheme val="minor"/>
      </rPr>
      <t>(range) :: Removes blanks from beginning and/or end (allowing efficient use of A:A references)</t>
    </r>
  </si>
  <si>
    <r>
      <rPr>
        <b/>
        <sz val="11"/>
        <color theme="1"/>
        <rFont val="Arial"/>
        <family val="2"/>
        <scheme val="minor"/>
      </rPr>
      <t>GROUPBY</t>
    </r>
    <r>
      <rPr>
        <sz val="11"/>
        <color theme="1"/>
        <rFont val="Arial"/>
        <family val="2"/>
        <scheme val="minor"/>
      </rPr>
      <t>(lots of options) :: Powerful function to replace many pivot table tasks</t>
    </r>
  </si>
  <si>
    <r>
      <rPr>
        <b/>
        <sz val="11"/>
        <color theme="1"/>
        <rFont val="Arial"/>
        <family val="2"/>
        <scheme val="minor"/>
      </rPr>
      <t>Example</t>
    </r>
    <r>
      <rPr>
        <sz val="11"/>
        <color theme="1"/>
        <rFont val="Arial"/>
        <family val="2"/>
        <scheme val="minor"/>
      </rPr>
      <t xml:space="preserve">: Similarity to </t>
    </r>
    <r>
      <rPr>
        <b/>
        <sz val="11"/>
        <color theme="1"/>
        <rFont val="Arial"/>
        <family val="2"/>
        <scheme val="minor"/>
      </rPr>
      <t>CROSSJOIN</t>
    </r>
    <r>
      <rPr>
        <sz val="11"/>
        <color theme="1"/>
        <rFont val="Arial"/>
        <family val="2"/>
        <scheme val="minor"/>
      </rPr>
      <t xml:space="preserve"> (a DAX function)</t>
    </r>
  </si>
  <si>
    <t>https://learn.microsoft.com/en-us/dax/crossjoin-function-dax</t>
  </si>
  <si>
    <t>Table 1</t>
  </si>
  <si>
    <t>Table 2</t>
  </si>
  <si>
    <t>Color</t>
  </si>
  <si>
    <t>Pattern</t>
  </si>
  <si>
    <t>Font</t>
  </si>
  <si>
    <t>Present</t>
  </si>
  <si>
    <t>Red</t>
  </si>
  <si>
    <t>Horiz Stripe</t>
  </si>
  <si>
    <t>serif</t>
  </si>
  <si>
    <t>embossed</t>
  </si>
  <si>
    <t>Green</t>
  </si>
  <si>
    <t>Vert Stripe</t>
  </si>
  <si>
    <t>sans-serif</t>
  </si>
  <si>
    <t>engraved</t>
  </si>
  <si>
    <t>Blue</t>
  </si>
  <si>
    <t>Crosshatch</t>
  </si>
  <si>
    <r>
      <rPr>
        <b/>
        <sz val="11"/>
        <color theme="1"/>
        <rFont val="Arial"/>
        <family val="2"/>
        <scheme val="minor"/>
      </rPr>
      <t>SORT</t>
    </r>
    <r>
      <rPr>
        <sz val="11"/>
        <color theme="1"/>
        <rFont val="Arial"/>
        <family val="2"/>
        <scheme val="minor"/>
      </rPr>
      <t>(</t>
    </r>
    <r>
      <rPr>
        <b/>
        <sz val="11"/>
        <color theme="1"/>
        <rFont val="Arial"/>
        <family val="2"/>
        <scheme val="minor"/>
      </rPr>
      <t>COMBINATIONS</t>
    </r>
    <r>
      <rPr>
        <sz val="11"/>
        <color theme="1"/>
        <rFont val="Arial"/>
        <family val="2"/>
        <scheme val="minor"/>
      </rPr>
      <t>(table_1,table_2),4)</t>
    </r>
  </si>
  <si>
    <t>Items</t>
  </si>
  <si>
    <t>Counts</t>
  </si>
  <si>
    <t>⚁</t>
  </si>
  <si>
    <t>⚂</t>
  </si>
  <si>
    <t>⚃</t>
  </si>
  <si>
    <t>⚄</t>
  </si>
  <si>
    <t>Added PERMUTATIONS, Updated TEXT2ARRAY and REPELEM.</t>
  </si>
  <si>
    <r>
      <rPr>
        <b/>
        <sz val="11"/>
        <color theme="1"/>
        <rFont val="Arial"/>
        <family val="2"/>
        <scheme val="minor"/>
      </rPr>
      <t>PERMUTATIONS</t>
    </r>
    <r>
      <rPr>
        <sz val="11"/>
        <color theme="1"/>
        <rFont val="Arial"/>
        <family val="2"/>
        <scheme val="minor"/>
      </rPr>
      <t>(array1,n_chosen) :: Returns an array of all permutations chosen n at a time with repetition</t>
    </r>
  </si>
  <si>
    <t>Many of the functions in this library are based on similar functions found in Matlab and Python libraries. In general, we tried to use the same function names so that people familiar with Matlab and Python will have a better idea how the functions work.</t>
  </si>
  <si>
    <r>
      <rPr>
        <b/>
        <sz val="11"/>
        <color theme="1"/>
        <rFont val="Arial"/>
        <family val="2"/>
        <scheme val="minor"/>
      </rPr>
      <t>REPELEM</t>
    </r>
    <r>
      <rPr>
        <sz val="11"/>
        <color theme="1"/>
        <rFont val="Arial"/>
        <family val="2"/>
        <scheme val="minor"/>
      </rPr>
      <t>(</t>
    </r>
    <r>
      <rPr>
        <i/>
        <sz val="11"/>
        <color theme="1"/>
        <rFont val="Arial"/>
        <family val="2"/>
        <scheme val="minor"/>
      </rPr>
      <t>array, m_vert, n_horiz</t>
    </r>
    <r>
      <rPr>
        <sz val="11"/>
        <color theme="1"/>
        <rFont val="Arial"/>
        <family val="2"/>
        <scheme val="minor"/>
      </rPr>
      <t>)</t>
    </r>
  </si>
  <si>
    <r>
      <rPr>
        <b/>
        <sz val="11"/>
        <color theme="1"/>
        <rFont val="Arial"/>
        <family val="2"/>
        <scheme val="minor"/>
      </rPr>
      <t>REPELEM</t>
    </r>
    <r>
      <rPr>
        <sz val="11"/>
        <color theme="1"/>
        <rFont val="Arial"/>
        <family val="2"/>
        <scheme val="minor"/>
      </rPr>
      <t>(</t>
    </r>
    <r>
      <rPr>
        <i/>
        <sz val="11"/>
        <color theme="1"/>
        <rFont val="Arial"/>
        <family val="2"/>
        <scheme val="minor"/>
      </rPr>
      <t>items, counts, 1</t>
    </r>
    <r>
      <rPr>
        <sz val="11"/>
        <color theme="1"/>
        <rFont val="Arial"/>
        <family val="2"/>
        <scheme val="minor"/>
      </rPr>
      <t>)</t>
    </r>
  </si>
  <si>
    <r>
      <rPr>
        <b/>
        <sz val="11"/>
        <color theme="1"/>
        <rFont val="Arial"/>
        <family val="2"/>
        <scheme val="minor"/>
      </rPr>
      <t>ISPRIME</t>
    </r>
    <r>
      <rPr>
        <sz val="11"/>
        <color theme="1"/>
        <rFont val="Arial"/>
        <family val="2"/>
        <scheme val="minor"/>
      </rPr>
      <t>(n) :: Checks if a number is prime</t>
    </r>
  </si>
  <si>
    <r>
      <rPr>
        <b/>
        <sz val="11"/>
        <color theme="1"/>
        <rFont val="Arial"/>
        <family val="2"/>
        <scheme val="minor"/>
      </rPr>
      <t>PRIMES</t>
    </r>
    <r>
      <rPr>
        <sz val="11"/>
        <color theme="1"/>
        <rFont val="Arial"/>
        <family val="2"/>
        <scheme val="minor"/>
      </rPr>
      <t>(n,[gte],[lte]) :: Returns a sequence of n primes &gt;= gte (default: 0) and &lt;= lte (default: 10000)</t>
    </r>
  </si>
  <si>
    <t>v 1.1.2</t>
  </si>
  <si>
    <r>
      <t>ISPRIME(</t>
    </r>
    <r>
      <rPr>
        <sz val="18"/>
        <color theme="3"/>
        <rFont val="Arial"/>
        <family val="2"/>
        <scheme val="minor"/>
      </rPr>
      <t>n</t>
    </r>
    <r>
      <rPr>
        <b/>
        <sz val="18"/>
        <color theme="3"/>
        <rFont val="Arial"/>
        <family val="2"/>
        <scheme val="minor"/>
      </rPr>
      <t>)</t>
    </r>
  </si>
  <si>
    <t>https://www.vertex42.com/lambda/isprime.html</t>
  </si>
  <si>
    <t>Returns TRUE if a number is prime, using a reasonably efficient algorithm.</t>
  </si>
  <si>
    <t>ISPRIME</t>
  </si>
  <si>
    <t>abc</t>
  </si>
  <si>
    <r>
      <t>PRIMES(</t>
    </r>
    <r>
      <rPr>
        <sz val="18"/>
        <color theme="3"/>
        <rFont val="Arial"/>
        <family val="2"/>
        <scheme val="minor"/>
      </rPr>
      <t>[n],[gte],[lte]</t>
    </r>
    <r>
      <rPr>
        <b/>
        <sz val="18"/>
        <color theme="3"/>
        <rFont val="Arial"/>
        <family val="2"/>
        <scheme val="minor"/>
      </rPr>
      <t>)</t>
    </r>
  </si>
  <si>
    <t>Returns a sequence of the first n prime numbers less than 10000, with additional options.</t>
  </si>
  <si>
    <t>PRIMES(10):</t>
  </si>
  <si>
    <t>PRIMES(,10,50):</t>
  </si>
  <si>
    <t>PRIMES(-5,,100):</t>
  </si>
  <si>
    <t>PRIMES(5,100):</t>
  </si>
  <si>
    <r>
      <t>COMBINATIONS(</t>
    </r>
    <r>
      <rPr>
        <sz val="18"/>
        <color theme="3"/>
        <rFont val="Arial"/>
        <family val="2"/>
        <scheme val="minor"/>
      </rPr>
      <t>array1,array2,[array3],[array4],[array5]</t>
    </r>
    <r>
      <rPr>
        <b/>
        <sz val="18"/>
        <color theme="3"/>
        <rFont val="Arial"/>
        <family val="2"/>
        <scheme val="minor"/>
      </rPr>
      <t>)</t>
    </r>
  </si>
  <si>
    <r>
      <t>ROT_45(</t>
    </r>
    <r>
      <rPr>
        <sz val="18"/>
        <color theme="3"/>
        <rFont val="Arial"/>
        <family val="2"/>
        <scheme val="minor"/>
      </rPr>
      <t>array,[n]</t>
    </r>
    <r>
      <rPr>
        <b/>
        <sz val="18"/>
        <color theme="3"/>
        <rFont val="Arial"/>
        <family val="2"/>
        <scheme val="minor"/>
      </rPr>
      <t>)</t>
    </r>
  </si>
  <si>
    <t>https://www.vertex42.com/lambda/rot45.html</t>
  </si>
  <si>
    <t>P</t>
  </si>
  <si>
    <t>U</t>
  </si>
  <si>
    <t>L</t>
  </si>
  <si>
    <t>G</t>
  </si>
  <si>
    <t>I</t>
  </si>
  <si>
    <t>O</t>
  </si>
  <si>
    <t>T</t>
  </si>
  <si>
    <t>S</t>
  </si>
  <si>
    <t>K</t>
  </si>
  <si>
    <t>W</t>
  </si>
  <si>
    <t>N</t>
  </si>
  <si>
    <t>Relative Addresses</t>
  </si>
  <si>
    <t>Original Values</t>
  </si>
  <si>
    <r>
      <rPr>
        <b/>
        <sz val="11"/>
        <color theme="1"/>
        <rFont val="Arial"/>
        <family val="2"/>
        <scheme val="minor"/>
      </rPr>
      <t>ROT_45</t>
    </r>
    <r>
      <rPr>
        <sz val="11"/>
        <color theme="1"/>
        <rFont val="Arial"/>
        <family val="2"/>
        <scheme val="minor"/>
      </rPr>
      <t xml:space="preserve">( </t>
    </r>
    <r>
      <rPr>
        <b/>
        <sz val="11"/>
        <color theme="1"/>
        <rFont val="Arial"/>
        <family val="2"/>
        <scheme val="minor"/>
      </rPr>
      <t>AD</t>
    </r>
    <r>
      <rPr>
        <sz val="11"/>
        <color theme="1"/>
        <rFont val="Arial"/>
        <family val="2"/>
        <scheme val="minor"/>
      </rPr>
      <t>(</t>
    </r>
    <r>
      <rPr>
        <i/>
        <sz val="11"/>
        <color theme="6" tint="-0.499984740745262"/>
        <rFont val="Arial"/>
        <family val="2"/>
        <scheme val="minor"/>
      </rPr>
      <t>array</t>
    </r>
    <r>
      <rPr>
        <sz val="11"/>
        <color theme="1"/>
        <rFont val="Arial"/>
        <family val="2"/>
        <scheme val="minor"/>
      </rPr>
      <t>,4), 1, "")</t>
    </r>
  </si>
  <si>
    <r>
      <rPr>
        <b/>
        <sz val="11"/>
        <color theme="1"/>
        <rFont val="Arial"/>
        <family val="2"/>
        <scheme val="minor"/>
      </rPr>
      <t>ROT_45</t>
    </r>
    <r>
      <rPr>
        <sz val="11"/>
        <color theme="1"/>
        <rFont val="Arial"/>
        <family val="2"/>
        <scheme val="minor"/>
      </rPr>
      <t xml:space="preserve">( </t>
    </r>
    <r>
      <rPr>
        <i/>
        <sz val="11"/>
        <color theme="6" tint="-0.499984740745262"/>
        <rFont val="Arial"/>
        <family val="2"/>
        <scheme val="minor"/>
      </rPr>
      <t>array</t>
    </r>
    <r>
      <rPr>
        <sz val="11"/>
        <color theme="1"/>
        <rFont val="Arial"/>
        <family val="2"/>
        <scheme val="minor"/>
      </rPr>
      <t>, 1, "")</t>
    </r>
  </si>
  <si>
    <r>
      <rPr>
        <b/>
        <sz val="11"/>
        <color theme="1"/>
        <rFont val="Arial"/>
        <family val="2"/>
        <scheme val="minor"/>
      </rPr>
      <t>ROT45</t>
    </r>
    <r>
      <rPr>
        <sz val="11"/>
        <color theme="1"/>
        <rFont val="Arial"/>
        <family val="2"/>
        <scheme val="minor"/>
      </rPr>
      <t>(array,[n],[fill_with]) :: Rotates an array 45 degrees CCW to make diagonals into rows</t>
    </r>
  </si>
  <si>
    <t>Rotates the array 45 degrees counterclockwise to make diagonals into rows. May be useful for word searches.</t>
  </si>
  <si>
    <t xml:space="preserve">© 2024-2025 Vertex42 LLC </t>
  </si>
  <si>
    <t>A seemingly more intuitive way to stack results from a function that returns a column or row.</t>
  </si>
  <si>
    <r>
      <t>VSTACK_ForEach(</t>
    </r>
    <r>
      <rPr>
        <sz val="18"/>
        <color theme="3"/>
        <rFont val="Arial"/>
        <family val="2"/>
        <scheme val="minor"/>
      </rPr>
      <t xml:space="preserve">vector, LAMBDA(val, expression) </t>
    </r>
    <r>
      <rPr>
        <b/>
        <sz val="18"/>
        <color theme="3"/>
        <rFont val="Arial"/>
        <family val="2"/>
        <scheme val="minor"/>
      </rPr>
      <t>) &amp; HSTACK_ForEach</t>
    </r>
  </si>
  <si>
    <r>
      <rPr>
        <b/>
        <sz val="11"/>
        <color theme="1"/>
        <rFont val="Arial"/>
        <family val="2"/>
        <scheme val="minor"/>
      </rPr>
      <t>HSTACK_ForEach</t>
    </r>
    <r>
      <rPr>
        <sz val="11"/>
        <color theme="1"/>
        <rFont val="Arial"/>
        <family val="2"/>
        <scheme val="minor"/>
      </rPr>
      <t>( SEQUENCE(5), SEQUENCE)</t>
    </r>
  </si>
  <si>
    <r>
      <rPr>
        <b/>
        <sz val="11"/>
        <color theme="1"/>
        <rFont val="Arial"/>
        <family val="2"/>
        <scheme val="minor"/>
      </rPr>
      <t>HSTACK_ForEach</t>
    </r>
    <r>
      <rPr>
        <sz val="11"/>
        <color theme="1"/>
        <rFont val="Arial"/>
        <family val="2"/>
        <scheme val="minor"/>
      </rPr>
      <t>( SEQUENCE(5), LAMBDA(v, SEQUENCE(1,v) ) )</t>
    </r>
  </si>
  <si>
    <r>
      <rPr>
        <b/>
        <sz val="11"/>
        <color theme="1"/>
        <rFont val="Arial"/>
        <family val="2"/>
        <scheme val="minor"/>
      </rPr>
      <t>VSTACK_ForEach</t>
    </r>
    <r>
      <rPr>
        <sz val="11"/>
        <color theme="1"/>
        <rFont val="Arial"/>
        <family val="2"/>
        <scheme val="minor"/>
      </rPr>
      <t>(vector,LAMBDA(val, expression)) :: Stacks the results of expression for each value in vector</t>
    </r>
  </si>
  <si>
    <t>Added ISPRIME, Primes, ROT_45, VSTACK_ForEach, HSTACK_ForEach, Updated COMBINATIONS. Updated some commenting.</t>
  </si>
  <si>
    <t>v 1.1.3</t>
  </si>
  <si>
    <t>1.1.3</t>
  </si>
  <si>
    <t>(n too large)</t>
  </si>
  <si>
    <t>Updated ISPRIME (to account for large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</si>
</sst>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numFmt numFmtId="165" formatCode="0.0000000000"/>
    <numFmt numFmtId="166" formatCode="0.0000000000000000E+00"/>
    <numFmt numFmtId="167" formatCode="0.00000000000000000"/>
    <numFmt numFmtId="168" formatCode="0.00000000"/>
    <numFmt numFmtId="169" formatCode="0.00000000000000"/>
    <numFmt numFmtId="170" formatCode="0.000"/>
  </numFmts>
  <fonts count="53" x14ac:knownFonts="1">
    <font>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sz val="18"/>
      <color theme="3"/>
      <name val="Arial"/>
      <family val="2"/>
      <scheme val="minor"/>
    </font>
    <font>
      <i/>
      <sz val="11"/>
      <color theme="1"/>
      <name val="Arial"/>
      <family val="2"/>
      <scheme val="minor"/>
    </font>
    <font>
      <b/>
      <sz val="9"/>
      <color theme="1" tint="0.34998626667073579"/>
      <name val="Arial"/>
      <family val="2"/>
      <scheme val="minor"/>
    </font>
    <font>
      <sz val="16"/>
      <color theme="3"/>
      <name val="Arial"/>
      <family val="2"/>
      <scheme val="minor"/>
    </font>
    <font>
      <b/>
      <sz val="9"/>
      <color theme="0"/>
      <name val="Arial"/>
      <family val="2"/>
      <scheme val="minor"/>
    </font>
    <font>
      <b/>
      <sz val="18"/>
      <color theme="3"/>
      <name val="Arial"/>
      <family val="2"/>
      <scheme val="minor"/>
    </font>
    <font>
      <sz val="8"/>
      <name val="Arial"/>
      <family val="2"/>
      <scheme val="minor"/>
    </font>
    <font>
      <b/>
      <sz val="11"/>
      <color theme="1"/>
      <name val="Arial"/>
      <family val="2"/>
      <scheme val="minor"/>
    </font>
    <font>
      <vertAlign val="superscript"/>
      <sz val="11"/>
      <color theme="1"/>
      <name val="Arial"/>
      <family val="2"/>
      <scheme val="minor"/>
    </font>
    <font>
      <b/>
      <i/>
      <sz val="11"/>
      <color theme="4"/>
      <name val="Arial"/>
      <family val="2"/>
      <scheme val="minor"/>
    </font>
    <font>
      <sz val="11"/>
      <name val="Arial"/>
      <family val="2"/>
      <scheme val="minor"/>
    </font>
    <font>
      <b/>
      <sz val="12"/>
      <color theme="1"/>
      <name val="Arial"/>
      <family val="2"/>
      <scheme val="minor"/>
    </font>
    <font>
      <sz val="12"/>
      <color theme="1"/>
      <name val="Arial"/>
      <family val="2"/>
      <scheme val="minor"/>
    </font>
    <font>
      <sz val="11"/>
      <color theme="10"/>
      <name val="Arial"/>
      <family val="2"/>
      <scheme val="minor"/>
    </font>
    <font>
      <sz val="10"/>
      <color theme="1"/>
      <name val="Arial"/>
      <family val="2"/>
      <scheme val="minor"/>
    </font>
    <font>
      <b/>
      <sz val="11"/>
      <name val="Arial"/>
      <family val="2"/>
      <scheme val="minor"/>
    </font>
    <font>
      <i/>
      <sz val="11"/>
      <name val="Arial"/>
      <family val="2"/>
      <scheme val="minor"/>
    </font>
    <font>
      <sz val="11"/>
      <color rgb="FF008000"/>
      <name val="Consolas"/>
      <family val="3"/>
    </font>
    <font>
      <b/>
      <u/>
      <sz val="11"/>
      <color theme="10"/>
      <name val="Arial"/>
      <family val="2"/>
      <scheme val="minor"/>
    </font>
    <font>
      <sz val="11"/>
      <color theme="1"/>
      <name val="Arial"/>
      <family val="2"/>
      <scheme val="minor"/>
    </font>
    <font>
      <b/>
      <sz val="11"/>
      <color theme="0"/>
      <name val="Arial"/>
      <family val="2"/>
      <scheme val="minor"/>
    </font>
    <font>
      <sz val="10"/>
      <color theme="0"/>
      <name val="Arial"/>
      <family val="2"/>
      <scheme val="minor"/>
    </font>
    <font>
      <sz val="12"/>
      <color theme="0"/>
      <name val="Arial"/>
      <family val="2"/>
      <scheme val="major"/>
    </font>
    <font>
      <sz val="8"/>
      <color theme="1" tint="0.499984740745262"/>
      <name val="Arial"/>
      <family val="2"/>
      <scheme val="minor"/>
    </font>
    <font>
      <i/>
      <sz val="11"/>
      <color rgb="FFFF0000"/>
      <name val="Arial"/>
      <family val="2"/>
      <scheme val="minor"/>
    </font>
    <font>
      <sz val="9"/>
      <color theme="0"/>
      <name val="Arial"/>
      <family val="2"/>
      <scheme val="minor"/>
    </font>
    <font>
      <sz val="8"/>
      <color theme="10"/>
      <name val="Arial"/>
      <family val="2"/>
      <scheme val="minor"/>
    </font>
    <font>
      <sz val="16"/>
      <color theme="1"/>
      <name val="Arial"/>
      <family val="2"/>
      <scheme val="minor"/>
    </font>
    <font>
      <vertAlign val="subscript"/>
      <sz val="10"/>
      <color theme="0"/>
      <name val="Arial"/>
      <family val="2"/>
      <scheme val="minor"/>
    </font>
    <font>
      <vertAlign val="subscript"/>
      <sz val="11"/>
      <color theme="0"/>
      <name val="Arial"/>
      <family val="2"/>
      <scheme val="minor"/>
    </font>
    <font>
      <b/>
      <vertAlign val="subscript"/>
      <sz val="11"/>
      <color theme="1"/>
      <name val="Arial"/>
      <family val="2"/>
      <scheme val="minor"/>
    </font>
    <font>
      <b/>
      <vertAlign val="subscript"/>
      <sz val="11"/>
      <color theme="0"/>
      <name val="Arial"/>
      <family val="2"/>
      <scheme val="minor"/>
    </font>
    <font>
      <vertAlign val="superscript"/>
      <sz val="11"/>
      <color theme="0"/>
      <name val="Arial"/>
      <family val="2"/>
      <scheme val="minor"/>
    </font>
    <font>
      <sz val="12"/>
      <color theme="0"/>
      <name val="Arial"/>
      <family val="2"/>
      <scheme val="minor"/>
    </font>
    <font>
      <sz val="9"/>
      <color theme="1"/>
      <name val="Arial"/>
      <family val="2"/>
      <scheme val="minor"/>
    </font>
    <font>
      <vertAlign val="subscript"/>
      <sz val="11"/>
      <color theme="1"/>
      <name val="Arial"/>
      <family val="2"/>
      <scheme val="minor"/>
    </font>
    <font>
      <b/>
      <vertAlign val="superscript"/>
      <sz val="11"/>
      <color theme="1"/>
      <name val="Arial"/>
      <family val="2"/>
      <scheme val="minor"/>
    </font>
    <font>
      <b/>
      <sz val="9"/>
      <color theme="1"/>
      <name val="Arial"/>
      <family val="2"/>
      <scheme val="minor"/>
    </font>
    <font>
      <b/>
      <sz val="11"/>
      <color theme="5" tint="-0.249977111117893"/>
      <name val="Arial"/>
      <family val="2"/>
      <scheme val="minor"/>
    </font>
    <font>
      <sz val="8"/>
      <color theme="1"/>
      <name val="Arial"/>
      <family val="2"/>
      <scheme val="minor"/>
    </font>
    <font>
      <b/>
      <sz val="18"/>
      <color theme="4" tint="-0.249977111117893"/>
      <name val="Arial"/>
      <family val="2"/>
      <scheme val="minor"/>
    </font>
    <font>
      <sz val="18"/>
      <color theme="4" tint="-0.249977111117893"/>
      <name val="Arial"/>
      <family val="2"/>
      <scheme val="minor"/>
    </font>
    <font>
      <b/>
      <sz val="18"/>
      <color theme="5" tint="-0.249977111117893"/>
      <name val="Arial"/>
      <family val="2"/>
      <scheme val="minor"/>
    </font>
    <font>
      <b/>
      <sz val="11"/>
      <color theme="4" tint="-0.249977111117893"/>
      <name val="Arial"/>
      <family val="2"/>
      <scheme val="minor"/>
    </font>
    <font>
      <sz val="11"/>
      <color theme="3"/>
      <name val="Arial"/>
      <family val="2"/>
      <scheme val="minor"/>
    </font>
    <font>
      <sz val="14"/>
      <color theme="1"/>
      <name val="Arial"/>
      <family val="2"/>
      <scheme val="minor"/>
    </font>
    <font>
      <i/>
      <sz val="11"/>
      <color theme="6" tint="-0.499984740745262"/>
      <name val="Arial"/>
      <family val="2"/>
      <scheme val="minor"/>
    </font>
  </fonts>
  <fills count="26">
    <fill>
      <patternFill patternType="none"/>
    </fill>
    <fill>
      <patternFill patternType="gray125"/>
    </fill>
    <fill>
      <patternFill patternType="solid">
        <fgColor theme="4" tint="-0.249977111117893"/>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14999847407452621"/>
        <bgColor indexed="64"/>
      </patternFill>
    </fill>
    <fill>
      <patternFill patternType="solid">
        <fgColor rgb="FFFFFFFE"/>
        <bgColor indexed="64"/>
      </patternFill>
    </fill>
    <fill>
      <patternFill patternType="solid">
        <fgColor theme="4" tint="0.39997558519241921"/>
        <bgColor indexed="65"/>
      </patternFill>
    </fill>
    <fill>
      <patternFill patternType="solid">
        <fgColor theme="6" tint="-0.499984740745262"/>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704AC4"/>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B8B8B8"/>
        <bgColor indexed="64"/>
      </patternFill>
    </fill>
    <fill>
      <patternFill patternType="solid">
        <fgColor rgb="FFC9C9C9"/>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0">
    <border>
      <left/>
      <right/>
      <top/>
      <bottom/>
      <diagonal/>
    </border>
    <border>
      <left/>
      <right/>
      <top/>
      <bottom style="thin">
        <color theme="4"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6" tint="-0.499984740745262"/>
      </left>
      <right/>
      <top style="thin">
        <color theme="6" tint="-0.499984740745262"/>
      </top>
      <bottom style="thin">
        <color theme="0" tint="-0.24994659260841701"/>
      </bottom>
      <diagonal/>
    </border>
    <border>
      <left style="medium">
        <color theme="4"/>
      </left>
      <right style="medium">
        <color theme="4"/>
      </right>
      <top style="medium">
        <color theme="4"/>
      </top>
      <bottom style="medium">
        <color theme="4"/>
      </bottom>
      <diagonal/>
    </border>
    <border>
      <left style="thin">
        <color indexed="64"/>
      </left>
      <right style="thin">
        <color indexed="64"/>
      </right>
      <top style="thin">
        <color indexed="64"/>
      </top>
      <bottom style="thin">
        <color indexed="64"/>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6" fillId="0" borderId="1" applyNumberFormat="0" applyFill="0" applyAlignment="0" applyProtection="0"/>
    <xf numFmtId="0" fontId="2" fillId="0" borderId="0" applyNumberFormat="0" applyFill="0" applyBorder="0" applyAlignment="0" applyProtection="0"/>
    <xf numFmtId="0" fontId="3" fillId="2" borderId="0">
      <alignment horizontal="left" vertical="center" indent="1"/>
    </xf>
    <xf numFmtId="0" fontId="5" fillId="3" borderId="0">
      <alignment vertical="center"/>
    </xf>
    <xf numFmtId="0" fontId="8" fillId="4" borderId="0">
      <alignment horizontal="center" vertical="center" shrinkToFit="1"/>
    </xf>
    <xf numFmtId="0" fontId="9" fillId="0" borderId="0" applyNumberFormat="0" applyFill="0" applyAlignment="0" applyProtection="0"/>
    <xf numFmtId="0" fontId="10" fillId="5" borderId="0">
      <alignment horizontal="center" vertical="center" shrinkToFit="1"/>
    </xf>
    <xf numFmtId="44" fontId="25" fillId="0" borderId="0" applyFont="0" applyFill="0" applyBorder="0" applyAlignment="0" applyProtection="0"/>
    <xf numFmtId="0" fontId="25" fillId="8" borderId="0" applyNumberFormat="0" applyBorder="0" applyAlignment="0" applyProtection="0"/>
  </cellStyleXfs>
  <cellXfs count="215">
    <xf numFmtId="0" fontId="0" fillId="0" borderId="0" xfId="0"/>
    <xf numFmtId="0" fontId="3" fillId="2" borderId="0" xfId="3">
      <alignment horizontal="left" vertical="center" indent="1"/>
    </xf>
    <xf numFmtId="0" fontId="3" fillId="2" borderId="0" xfId="3" applyAlignment="1">
      <alignment horizontal="left" vertical="center"/>
    </xf>
    <xf numFmtId="0" fontId="2" fillId="0" borderId="0" xfId="2"/>
    <xf numFmtId="0" fontId="4" fillId="0" borderId="0" xfId="0" applyFont="1" applyAlignment="1">
      <alignment horizontal="right"/>
    </xf>
    <xf numFmtId="0" fontId="0" fillId="0" borderId="0" xfId="0" applyAlignment="1">
      <alignment horizontal="left" vertical="top" wrapText="1"/>
    </xf>
    <xf numFmtId="0" fontId="5" fillId="3" borderId="0" xfId="4">
      <alignment vertical="center"/>
    </xf>
    <xf numFmtId="0" fontId="0" fillId="0" borderId="0" xfId="0" applyAlignment="1">
      <alignment vertical="center"/>
    </xf>
    <xf numFmtId="0" fontId="6" fillId="0" borderId="1" xfId="1" applyAlignment="1">
      <alignment vertical="center"/>
    </xf>
    <xf numFmtId="0" fontId="8" fillId="4" borderId="0" xfId="5">
      <alignment horizontal="center" vertical="center" shrinkToFit="1"/>
    </xf>
    <xf numFmtId="0" fontId="2" fillId="0" borderId="0" xfId="2" applyAlignment="1">
      <alignment horizontal="left" vertical="center" indent="1"/>
    </xf>
    <xf numFmtId="0" fontId="0" fillId="0" borderId="0" xfId="0" applyAlignment="1">
      <alignment horizontal="left" vertical="center" indent="1"/>
    </xf>
    <xf numFmtId="0" fontId="11" fillId="0" borderId="1" xfId="1" applyFont="1" applyAlignment="1">
      <alignment vertical="center"/>
    </xf>
    <xf numFmtId="0" fontId="0" fillId="2" borderId="0" xfId="0" applyFill="1" applyAlignment="1">
      <alignment vertical="center"/>
    </xf>
    <xf numFmtId="0" fontId="5" fillId="2" borderId="0" xfId="4" applyFill="1">
      <alignment vertical="center"/>
    </xf>
    <xf numFmtId="0" fontId="2" fillId="0" borderId="0" xfId="2" applyFill="1" applyAlignment="1">
      <alignment horizontal="left" indent="1"/>
    </xf>
    <xf numFmtId="0" fontId="0" fillId="0" borderId="0" xfId="0" applyAlignment="1">
      <alignment horizontal="right" vertical="center"/>
    </xf>
    <xf numFmtId="0" fontId="0" fillId="6" borderId="2" xfId="0" quotePrefix="1" applyFill="1" applyBorder="1" applyAlignment="1">
      <alignment horizontal="left" vertical="center" indent="1"/>
    </xf>
    <xf numFmtId="0" fontId="0" fillId="6" borderId="3" xfId="0" applyFill="1" applyBorder="1" applyAlignment="1">
      <alignment vertical="center"/>
    </xf>
    <xf numFmtId="0" fontId="0" fillId="6" borderId="4" xfId="0" applyFill="1"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2" fillId="0" borderId="0" xfId="2" applyAlignment="1">
      <alignment horizontal="left" vertical="top"/>
    </xf>
    <xf numFmtId="0" fontId="7" fillId="0" borderId="0" xfId="0" applyFont="1" applyAlignment="1">
      <alignment horizontal="center"/>
    </xf>
    <xf numFmtId="0" fontId="17" fillId="0" borderId="0" xfId="0" applyFont="1" applyAlignment="1">
      <alignment horizontal="left" vertical="top"/>
    </xf>
    <xf numFmtId="0" fontId="18" fillId="0" borderId="0" xfId="0" applyFont="1" applyAlignment="1">
      <alignment horizontal="left" vertical="top" wrapText="1"/>
    </xf>
    <xf numFmtId="0" fontId="17" fillId="0" borderId="0" xfId="0" applyFont="1" applyAlignment="1">
      <alignment horizontal="left" vertical="top" wrapText="1"/>
    </xf>
    <xf numFmtId="0" fontId="19" fillId="0" borderId="0" xfId="2" applyFont="1" applyAlignment="1">
      <alignment horizontal="center" vertical="center"/>
    </xf>
    <xf numFmtId="0" fontId="1" fillId="2" borderId="0" xfId="0" applyFont="1" applyFill="1" applyAlignment="1">
      <alignment vertical="center"/>
    </xf>
    <xf numFmtId="0" fontId="13" fillId="0" borderId="0" xfId="0" applyFont="1" applyAlignment="1">
      <alignment horizontal="left" vertical="top" wrapText="1"/>
    </xf>
    <xf numFmtId="0" fontId="16" fillId="6" borderId="2" xfId="0" quotePrefix="1" applyFont="1" applyFill="1" applyBorder="1" applyAlignment="1">
      <alignment horizontal="left" vertical="center" indent="1"/>
    </xf>
    <xf numFmtId="0" fontId="23" fillId="7" borderId="0" xfId="0" applyFont="1" applyFill="1" applyAlignment="1">
      <alignment wrapText="1"/>
    </xf>
    <xf numFmtId="0" fontId="20" fillId="7" borderId="0" xfId="0" applyFont="1" applyFill="1" applyAlignment="1">
      <alignment wrapText="1"/>
    </xf>
    <xf numFmtId="0" fontId="23" fillId="7" borderId="0" xfId="0" applyFont="1" applyFill="1" applyAlignment="1">
      <alignment vertical="center"/>
    </xf>
    <xf numFmtId="0" fontId="24" fillId="0" borderId="0" xfId="2" applyFont="1" applyAlignment="1">
      <alignment horizontal="left" vertical="top"/>
    </xf>
    <xf numFmtId="0" fontId="2" fillId="0" borderId="0" xfId="2" applyAlignment="1">
      <alignment horizontal="right"/>
    </xf>
    <xf numFmtId="0" fontId="0" fillId="0" borderId="0" xfId="0" applyAlignment="1">
      <alignment horizontal="right"/>
    </xf>
    <xf numFmtId="0" fontId="13" fillId="0" borderId="0" xfId="0" applyFont="1"/>
    <xf numFmtId="0" fontId="19" fillId="0" borderId="0" xfId="2" applyFont="1" applyAlignment="1">
      <alignment vertical="center"/>
    </xf>
    <xf numFmtId="0" fontId="1" fillId="9" borderId="0" xfId="9" applyFont="1" applyFill="1" applyBorder="1" applyAlignment="1">
      <alignment horizontal="center" vertical="center"/>
    </xf>
    <xf numFmtId="0" fontId="27" fillId="10" borderId="0" xfId="9" applyFont="1" applyFill="1" applyBorder="1" applyAlignment="1">
      <alignment horizontal="center" vertical="center"/>
    </xf>
    <xf numFmtId="0" fontId="7" fillId="0" borderId="0" xfId="0" applyFont="1" applyAlignment="1">
      <alignment vertical="center"/>
    </xf>
    <xf numFmtId="0" fontId="0" fillId="0" borderId="5" xfId="8" quotePrefix="1" applyNumberFormat="1" applyFont="1" applyFill="1" applyBorder="1" applyAlignment="1">
      <alignment horizontal="center" vertical="center"/>
    </xf>
    <xf numFmtId="0" fontId="0" fillId="4" borderId="0" xfId="8" quotePrefix="1" applyNumberFormat="1"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2" applyAlignment="1">
      <alignment vertical="center"/>
    </xf>
    <xf numFmtId="0" fontId="4" fillId="0" borderId="0" xfId="0" applyFont="1" applyAlignment="1">
      <alignment horizontal="right" vertical="center"/>
    </xf>
    <xf numFmtId="0" fontId="18" fillId="0" borderId="0" xfId="0" applyFont="1" applyAlignment="1">
      <alignment vertical="center"/>
    </xf>
    <xf numFmtId="0" fontId="28" fillId="2" borderId="0" xfId="3" applyFont="1" applyAlignment="1">
      <alignment horizontal="left" vertical="center"/>
    </xf>
    <xf numFmtId="0" fontId="29" fillId="0" borderId="0" xfId="2" applyFont="1" applyAlignment="1">
      <alignment vertical="center"/>
    </xf>
    <xf numFmtId="0" fontId="26" fillId="9" borderId="0" xfId="9" applyFont="1" applyFill="1" applyBorder="1" applyAlignment="1">
      <alignment horizontal="center" vertical="center"/>
    </xf>
    <xf numFmtId="0" fontId="1" fillId="10" borderId="0" xfId="9" applyFont="1" applyFill="1" applyBorder="1" applyAlignment="1">
      <alignment horizontal="center" vertical="center"/>
    </xf>
    <xf numFmtId="0" fontId="1" fillId="9" borderId="6" xfId="9" applyFont="1" applyFill="1" applyBorder="1" applyAlignment="1">
      <alignment horizontal="center" vertical="center"/>
    </xf>
    <xf numFmtId="0" fontId="0" fillId="4" borderId="0" xfId="8" applyNumberFormat="1" applyFont="1" applyFill="1" applyBorder="1" applyAlignment="1">
      <alignment horizontal="center" vertical="center"/>
    </xf>
    <xf numFmtId="0" fontId="30" fillId="0" borderId="0" xfId="0" applyFont="1" applyAlignment="1">
      <alignment vertical="center" wrapText="1"/>
    </xf>
    <xf numFmtId="0" fontId="27" fillId="10" borderId="0" xfId="9" applyFont="1" applyFill="1" applyBorder="1" applyAlignment="1">
      <alignment horizontal="left" vertical="center"/>
    </xf>
    <xf numFmtId="0" fontId="13" fillId="0" borderId="0" xfId="0" applyFont="1" applyAlignment="1">
      <alignment vertical="center"/>
    </xf>
    <xf numFmtId="0" fontId="31" fillId="10" borderId="0" xfId="9"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vertical="center"/>
    </xf>
    <xf numFmtId="0" fontId="32" fillId="0" borderId="0" xfId="2" applyFont="1" applyAlignment="1">
      <alignment vertical="center"/>
    </xf>
    <xf numFmtId="0" fontId="0" fillId="12" borderId="0" xfId="0" applyFill="1" applyAlignment="1">
      <alignment horizontal="right" vertical="center"/>
    </xf>
    <xf numFmtId="0" fontId="0" fillId="12" borderId="0" xfId="0" applyFill="1" applyAlignment="1">
      <alignment vertical="center"/>
    </xf>
    <xf numFmtId="0" fontId="0" fillId="11" borderId="0" xfId="0" applyFill="1" applyAlignment="1">
      <alignment horizontal="center" vertical="center"/>
    </xf>
    <xf numFmtId="0" fontId="25" fillId="0" borderId="5" xfId="8" quotePrefix="1" applyNumberFormat="1" applyFont="1" applyFill="1" applyBorder="1" applyAlignment="1">
      <alignment horizontal="center" vertical="center"/>
    </xf>
    <xf numFmtId="0" fontId="0" fillId="0" borderId="0" xfId="0" quotePrefix="1" applyAlignment="1">
      <alignment vertical="center"/>
    </xf>
    <xf numFmtId="0" fontId="20" fillId="0" borderId="0" xfId="0" applyFont="1" applyAlignment="1">
      <alignment wrapText="1"/>
    </xf>
    <xf numFmtId="0" fontId="20" fillId="13" borderId="0" xfId="0" applyFont="1" applyFill="1" applyAlignment="1">
      <alignment wrapText="1"/>
    </xf>
    <xf numFmtId="0" fontId="0" fillId="0" borderId="0" xfId="0" applyAlignment="1">
      <alignment horizontal="center" wrapText="1"/>
    </xf>
    <xf numFmtId="0" fontId="7" fillId="0" borderId="0" xfId="0" quotePrefix="1" applyFont="1" applyAlignment="1">
      <alignment vertical="center"/>
    </xf>
    <xf numFmtId="0" fontId="21" fillId="0" borderId="0" xfId="9" applyFont="1" applyFill="1" applyBorder="1" applyAlignment="1">
      <alignment horizontal="center" vertical="center"/>
    </xf>
    <xf numFmtId="0" fontId="13" fillId="0" borderId="0" xfId="0" applyFont="1" applyAlignment="1">
      <alignment horizontal="right" vertical="center"/>
    </xf>
    <xf numFmtId="2" fontId="0" fillId="0" borderId="0" xfId="0" applyNumberFormat="1" applyAlignment="1">
      <alignment horizontal="center" vertical="center"/>
    </xf>
    <xf numFmtId="0" fontId="33" fillId="0" borderId="0" xfId="0" applyFont="1" applyAlignment="1">
      <alignment vertical="center"/>
    </xf>
    <xf numFmtId="0" fontId="1" fillId="9" borderId="0" xfId="9" applyFont="1" applyFill="1" applyBorder="1" applyAlignment="1">
      <alignment horizontal="right" vertical="center" wrapText="1"/>
    </xf>
    <xf numFmtId="0" fontId="0" fillId="0" borderId="5" xfId="0" applyBorder="1" applyAlignment="1">
      <alignment horizontal="center" vertical="center"/>
    </xf>
    <xf numFmtId="0" fontId="1" fillId="9" borderId="0" xfId="9" applyFont="1" applyFill="1" applyBorder="1" applyAlignment="1">
      <alignment horizontal="center" vertical="center" wrapText="1"/>
    </xf>
    <xf numFmtId="0" fontId="0" fillId="11" borderId="0" xfId="0" applyFill="1" applyAlignment="1">
      <alignment horizontal="right" vertical="center"/>
    </xf>
    <xf numFmtId="0" fontId="27" fillId="14" borderId="0" xfId="9" applyFont="1" applyFill="1" applyBorder="1" applyAlignment="1">
      <alignment horizontal="center" vertical="center"/>
    </xf>
    <xf numFmtId="0" fontId="0" fillId="0" borderId="0" xfId="0" applyAlignment="1">
      <alignment horizontal="left" vertical="top"/>
    </xf>
    <xf numFmtId="0" fontId="0" fillId="6" borderId="0" xfId="0" applyFill="1" applyAlignment="1">
      <alignment horizontal="center" vertical="center"/>
    </xf>
    <xf numFmtId="164" fontId="0" fillId="0" borderId="0" xfId="0" applyNumberFormat="1" applyAlignment="1">
      <alignment vertical="center"/>
    </xf>
    <xf numFmtId="164" fontId="0" fillId="11" borderId="0" xfId="0" applyNumberFormat="1" applyFill="1" applyAlignment="1">
      <alignment vertical="center"/>
    </xf>
    <xf numFmtId="164" fontId="0" fillId="4" borderId="0" xfId="0" applyNumberFormat="1" applyFill="1" applyAlignment="1">
      <alignment vertical="center"/>
    </xf>
    <xf numFmtId="0" fontId="21" fillId="0" borderId="0" xfId="9" applyFont="1" applyFill="1" applyBorder="1" applyAlignment="1">
      <alignment horizontal="right" vertical="center"/>
    </xf>
    <xf numFmtId="0" fontId="16" fillId="0" borderId="0" xfId="9" applyFont="1" applyFill="1" applyBorder="1" applyAlignment="1">
      <alignment horizontal="center" vertical="center"/>
    </xf>
    <xf numFmtId="0" fontId="16" fillId="0" borderId="0" xfId="0" applyFont="1" applyAlignment="1">
      <alignment horizontal="right" vertical="center"/>
    </xf>
    <xf numFmtId="0" fontId="39" fillId="2" borderId="0" xfId="0" applyFont="1" applyFill="1" applyAlignment="1">
      <alignment vertical="center"/>
    </xf>
    <xf numFmtId="164" fontId="0" fillId="15" borderId="0" xfId="0" applyNumberFormat="1" applyFill="1" applyAlignment="1">
      <alignment vertical="center"/>
    </xf>
    <xf numFmtId="164" fontId="0" fillId="6" borderId="0" xfId="0" applyNumberFormat="1" applyFill="1" applyAlignment="1">
      <alignment vertical="center"/>
    </xf>
    <xf numFmtId="164" fontId="0" fillId="16" borderId="0" xfId="0" applyNumberFormat="1" applyFill="1" applyAlignment="1">
      <alignment vertical="center"/>
    </xf>
    <xf numFmtId="164" fontId="0" fillId="17" borderId="0" xfId="0" applyNumberFormat="1" applyFill="1" applyAlignment="1">
      <alignment vertical="center"/>
    </xf>
    <xf numFmtId="164" fontId="0" fillId="18" borderId="0" xfId="0" applyNumberFormat="1" applyFill="1" applyAlignment="1">
      <alignment vertical="center"/>
    </xf>
    <xf numFmtId="0" fontId="0" fillId="11" borderId="0" xfId="0" applyFill="1" applyAlignment="1">
      <alignment vertical="center"/>
    </xf>
    <xf numFmtId="164" fontId="0" fillId="19" borderId="0" xfId="0" applyNumberFormat="1" applyFill="1" applyAlignment="1">
      <alignment vertical="center"/>
    </xf>
    <xf numFmtId="14" fontId="0" fillId="0" borderId="0" xfId="0" applyNumberFormat="1"/>
    <xf numFmtId="0" fontId="40" fillId="0" borderId="5" xfId="8" quotePrefix="1" applyNumberFormat="1" applyFont="1" applyFill="1" applyBorder="1" applyAlignment="1">
      <alignment horizontal="center" vertical="center"/>
    </xf>
    <xf numFmtId="0" fontId="1" fillId="20" borderId="0" xfId="9" applyFont="1" applyFill="1" applyBorder="1" applyAlignment="1">
      <alignment horizontal="center" vertical="center" wrapText="1"/>
    </xf>
    <xf numFmtId="0" fontId="1" fillId="9" borderId="0" xfId="9" applyFont="1" applyFill="1" applyBorder="1" applyAlignment="1">
      <alignment horizontal="centerContinuous" vertical="center"/>
    </xf>
    <xf numFmtId="0" fontId="1" fillId="9" borderId="0" xfId="9" applyFont="1" applyFill="1" applyBorder="1" applyAlignment="1">
      <alignment horizontal="centerContinuous" vertical="center" wrapText="1"/>
    </xf>
    <xf numFmtId="0" fontId="0" fillId="4" borderId="5" xfId="0" applyFill="1" applyBorder="1" applyAlignment="1">
      <alignment horizontal="center" vertical="center"/>
    </xf>
    <xf numFmtId="0" fontId="13" fillId="21" borderId="0" xfId="0" applyFont="1" applyFill="1" applyAlignment="1">
      <alignment horizontal="center" vertical="center"/>
    </xf>
    <xf numFmtId="0" fontId="13" fillId="11" borderId="0" xfId="0" applyFont="1" applyFill="1" applyAlignment="1">
      <alignment horizontal="center" vertical="center"/>
    </xf>
    <xf numFmtId="0" fontId="0" fillId="15" borderId="0" xfId="0" applyFill="1" applyAlignment="1">
      <alignment vertical="center"/>
    </xf>
    <xf numFmtId="0" fontId="0" fillId="22" borderId="5" xfId="8" quotePrefix="1" applyNumberFormat="1" applyFont="1" applyFill="1" applyBorder="1" applyAlignment="1">
      <alignment horizontal="left" vertical="center"/>
    </xf>
    <xf numFmtId="0" fontId="0" fillId="22" borderId="5" xfId="8" quotePrefix="1" applyNumberFormat="1" applyFont="1" applyFill="1" applyBorder="1" applyAlignment="1">
      <alignment horizontal="center" vertical="center"/>
    </xf>
    <xf numFmtId="0" fontId="0" fillId="0" borderId="0" xfId="0" quotePrefix="1" applyAlignment="1">
      <alignment horizontal="left" vertical="top" wrapText="1"/>
    </xf>
    <xf numFmtId="0" fontId="13" fillId="0" borderId="0" xfId="0" quotePrefix="1" applyFont="1" applyAlignment="1">
      <alignment horizontal="left" vertical="top"/>
    </xf>
    <xf numFmtId="0" fontId="40" fillId="11" borderId="0" xfId="0" applyFont="1" applyFill="1" applyAlignment="1">
      <alignment vertical="center"/>
    </xf>
    <xf numFmtId="0" fontId="13" fillId="0" borderId="0" xfId="0" applyFont="1" applyAlignment="1">
      <alignment horizontal="center" vertical="center"/>
    </xf>
    <xf numFmtId="0" fontId="16" fillId="0" borderId="0" xfId="0" applyFont="1" applyAlignment="1">
      <alignment vertical="center"/>
    </xf>
    <xf numFmtId="0" fontId="1" fillId="9" borderId="0" xfId="9" applyFont="1" applyFill="1" applyBorder="1" applyAlignment="1">
      <alignment horizontal="left" vertical="center"/>
    </xf>
    <xf numFmtId="0" fontId="13" fillId="0" borderId="5" xfId="8" quotePrefix="1" applyNumberFormat="1" applyFont="1" applyFill="1" applyBorder="1" applyAlignment="1">
      <alignment horizontal="center" vertical="center"/>
    </xf>
    <xf numFmtId="0" fontId="43" fillId="0" borderId="0" xfId="0" applyFont="1" applyAlignment="1">
      <alignment vertical="center"/>
    </xf>
    <xf numFmtId="0" fontId="40" fillId="0" borderId="0" xfId="0" applyFont="1" applyAlignment="1">
      <alignment vertical="center"/>
    </xf>
    <xf numFmtId="165" fontId="40" fillId="4" borderId="0" xfId="0" applyNumberFormat="1" applyFont="1" applyFill="1" applyAlignment="1">
      <alignment vertical="center"/>
    </xf>
    <xf numFmtId="165" fontId="43" fillId="0" borderId="0" xfId="0" applyNumberFormat="1" applyFont="1" applyAlignment="1">
      <alignment vertical="center"/>
    </xf>
    <xf numFmtId="0" fontId="1" fillId="10" borderId="0" xfId="9" applyFont="1" applyFill="1" applyBorder="1" applyAlignment="1">
      <alignment horizontal="left" vertical="center"/>
    </xf>
    <xf numFmtId="166" fontId="0" fillId="0" borderId="0" xfId="0" applyNumberFormat="1" applyAlignment="1">
      <alignment vertical="center"/>
    </xf>
    <xf numFmtId="11" fontId="0" fillId="0" borderId="5" xfId="0" applyNumberFormat="1" applyBorder="1" applyAlignment="1">
      <alignment horizontal="center" vertical="center"/>
    </xf>
    <xf numFmtId="0" fontId="0" fillId="0" borderId="5" xfId="0" quotePrefix="1" applyBorder="1" applyAlignment="1">
      <alignment horizontal="center" vertical="center"/>
    </xf>
    <xf numFmtId="0" fontId="0" fillId="0" borderId="5" xfId="0" applyBorder="1" applyAlignment="1">
      <alignment horizontal="left" vertical="center"/>
    </xf>
    <xf numFmtId="0" fontId="44" fillId="0" borderId="0" xfId="0" applyFont="1" applyAlignment="1">
      <alignment vertical="center"/>
    </xf>
    <xf numFmtId="0" fontId="0" fillId="0" borderId="0" xfId="0" applyAlignment="1">
      <alignment horizontal="right" vertical="center" wrapText="1"/>
    </xf>
    <xf numFmtId="0" fontId="0" fillId="0" borderId="5" xfId="0" applyBorder="1" applyAlignment="1">
      <alignment horizontal="right" vertical="center"/>
    </xf>
    <xf numFmtId="168" fontId="45" fillId="0" borderId="0" xfId="0" applyNumberFormat="1" applyFont="1" applyAlignment="1">
      <alignment vertical="center"/>
    </xf>
    <xf numFmtId="0" fontId="7" fillId="0" borderId="0" xfId="0" applyFont="1" applyAlignment="1">
      <alignment horizontal="right" vertical="center"/>
    </xf>
    <xf numFmtId="0" fontId="0" fillId="0" borderId="0" xfId="0" applyAlignment="1">
      <alignment horizontal="left"/>
    </xf>
    <xf numFmtId="170" fontId="0" fillId="0" borderId="5" xfId="8" quotePrefix="1" applyNumberFormat="1" applyFont="1" applyFill="1" applyBorder="1" applyAlignment="1">
      <alignment horizontal="center" vertical="center"/>
    </xf>
    <xf numFmtId="0" fontId="25" fillId="0" borderId="0" xfId="0" applyFont="1" applyAlignment="1">
      <alignment horizontal="center"/>
    </xf>
    <xf numFmtId="0" fontId="1" fillId="2" borderId="7" xfId="2" applyFont="1" applyFill="1" applyBorder="1" applyAlignment="1">
      <alignment horizontal="center" vertical="center"/>
    </xf>
    <xf numFmtId="0" fontId="0" fillId="0" borderId="8" xfId="0" applyBorder="1" applyAlignment="1">
      <alignment vertical="center"/>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0" fillId="11" borderId="11" xfId="0" applyFill="1" applyBorder="1" applyAlignment="1">
      <alignment horizontal="center" vertical="center"/>
    </xf>
    <xf numFmtId="0" fontId="0" fillId="11" borderId="12" xfId="0" applyFill="1" applyBorder="1" applyAlignment="1">
      <alignment horizontal="center" vertical="center"/>
    </xf>
    <xf numFmtId="0" fontId="0" fillId="11" borderId="5" xfId="8" quotePrefix="1" applyNumberFormat="1" applyFont="1" applyFill="1" applyBorder="1" applyAlignment="1">
      <alignment horizontal="center" vertical="center"/>
    </xf>
    <xf numFmtId="0" fontId="0" fillId="23" borderId="5" xfId="8" quotePrefix="1" applyNumberFormat="1" applyFont="1" applyFill="1" applyBorder="1" applyAlignment="1">
      <alignment horizontal="center" vertical="center"/>
    </xf>
    <xf numFmtId="0" fontId="0" fillId="24" borderId="5" xfId="8" quotePrefix="1" applyNumberFormat="1" applyFont="1" applyFill="1" applyBorder="1" applyAlignment="1">
      <alignment horizontal="center" vertical="center"/>
    </xf>
    <xf numFmtId="0" fontId="0" fillId="25" borderId="5" xfId="8" quotePrefix="1" applyNumberFormat="1" applyFont="1" applyFill="1" applyBorder="1" applyAlignment="1">
      <alignment horizontal="center" vertical="center"/>
    </xf>
    <xf numFmtId="0" fontId="0" fillId="11" borderId="13" xfId="0" applyFill="1" applyBorder="1" applyAlignment="1">
      <alignment horizontal="center" vertical="center"/>
    </xf>
    <xf numFmtId="0" fontId="0" fillId="23" borderId="13" xfId="0" applyFill="1" applyBorder="1" applyAlignment="1">
      <alignment horizontal="center" vertical="center"/>
    </xf>
    <xf numFmtId="0" fontId="0" fillId="25" borderId="13" xfId="0" applyFill="1" applyBorder="1" applyAlignment="1">
      <alignment horizontal="center" vertical="center"/>
    </xf>
    <xf numFmtId="0" fontId="0" fillId="24" borderId="13" xfId="0" applyFill="1" applyBorder="1" applyAlignment="1">
      <alignment horizontal="center" vertical="center"/>
    </xf>
    <xf numFmtId="0" fontId="46" fillId="0" borderId="0" xfId="0" applyFont="1" applyAlignment="1">
      <alignment horizontal="left" vertical="top"/>
    </xf>
    <xf numFmtId="0" fontId="0" fillId="23" borderId="0" xfId="0" applyFill="1" applyAlignment="1">
      <alignment horizontal="center" vertical="center"/>
    </xf>
    <xf numFmtId="0" fontId="13" fillId="23" borderId="0" xfId="0" applyFont="1" applyFill="1" applyAlignment="1">
      <alignment horizontal="center" vertical="center"/>
    </xf>
    <xf numFmtId="0" fontId="0" fillId="0" borderId="0" xfId="8" quotePrefix="1" applyNumberFormat="1" applyFont="1" applyFill="1" applyBorder="1" applyAlignment="1">
      <alignment horizontal="center" vertical="center"/>
    </xf>
    <xf numFmtId="0" fontId="0" fillId="24" borderId="0" xfId="0" applyFill="1" applyAlignment="1">
      <alignment horizontal="center" vertical="center"/>
    </xf>
    <xf numFmtId="0" fontId="1" fillId="10" borderId="0" xfId="9" applyFont="1" applyFill="1" applyBorder="1" applyAlignment="1">
      <alignment horizontal="left" vertical="center" indent="1"/>
    </xf>
    <xf numFmtId="0" fontId="0" fillId="23" borderId="0" xfId="0" applyFill="1" applyAlignment="1">
      <alignment horizontal="center"/>
    </xf>
    <xf numFmtId="0" fontId="0" fillId="23" borderId="0" xfId="0" applyFill="1" applyAlignment="1">
      <alignment horizontal="center" wrapText="1"/>
    </xf>
    <xf numFmtId="0" fontId="0" fillId="22" borderId="0" xfId="0" applyFill="1" applyAlignment="1">
      <alignment horizontal="center" vertical="center"/>
    </xf>
    <xf numFmtId="0" fontId="50" fillId="0" borderId="1" xfId="1" applyFont="1" applyAlignment="1">
      <alignment horizontal="right" vertical="center"/>
    </xf>
    <xf numFmtId="0" fontId="50" fillId="0" borderId="1" xfId="1" applyFont="1" applyAlignment="1">
      <alignment vertical="center"/>
    </xf>
    <xf numFmtId="0" fontId="27" fillId="10" borderId="0" xfId="9" applyFont="1" applyFill="1" applyBorder="1" applyAlignment="1">
      <alignment vertical="center"/>
    </xf>
    <xf numFmtId="0" fontId="16" fillId="0" borderId="5" xfId="8" quotePrefix="1" applyNumberFormat="1" applyFont="1" applyFill="1" applyBorder="1" applyAlignment="1">
      <alignment horizontal="center" vertical="center"/>
    </xf>
    <xf numFmtId="0" fontId="16" fillId="6" borderId="0" xfId="9" applyFont="1" applyFill="1" applyBorder="1" applyAlignment="1">
      <alignment horizontal="center" vertical="center"/>
    </xf>
    <xf numFmtId="0" fontId="25" fillId="23" borderId="5" xfId="8" quotePrefix="1" applyNumberFormat="1" applyFont="1" applyFill="1" applyBorder="1" applyAlignment="1">
      <alignment horizontal="center" vertical="center"/>
    </xf>
    <xf numFmtId="0" fontId="25" fillId="11" borderId="5" xfId="8" quotePrefix="1" applyNumberFormat="1" applyFont="1" applyFill="1" applyBorder="1" applyAlignment="1">
      <alignment horizontal="center" vertical="center"/>
    </xf>
    <xf numFmtId="0" fontId="0" fillId="23" borderId="0" xfId="0" applyFill="1" applyAlignment="1">
      <alignment vertical="center"/>
    </xf>
    <xf numFmtId="0" fontId="51" fillId="23" borderId="5" xfId="8" quotePrefix="1" applyNumberFormat="1" applyFont="1" applyFill="1" applyBorder="1" applyAlignment="1">
      <alignment horizontal="center" vertical="center"/>
    </xf>
    <xf numFmtId="0" fontId="51" fillId="23" borderId="0" xfId="0" applyFont="1" applyFill="1" applyAlignment="1">
      <alignment horizontal="center" vertical="center"/>
    </xf>
    <xf numFmtId="0" fontId="51" fillId="15" borderId="0" xfId="0" applyFont="1" applyFill="1" applyAlignment="1">
      <alignment horizontal="center" vertical="center"/>
    </xf>
    <xf numFmtId="0" fontId="51" fillId="24" borderId="0" xfId="0" applyFont="1" applyFill="1" applyAlignment="1">
      <alignment horizontal="center" vertical="center"/>
    </xf>
    <xf numFmtId="0" fontId="51" fillId="15" borderId="5" xfId="8" quotePrefix="1" applyNumberFormat="1" applyFont="1" applyFill="1" applyBorder="1" applyAlignment="1">
      <alignment horizontal="center" vertical="center"/>
    </xf>
    <xf numFmtId="0" fontId="25" fillId="15" borderId="5" xfId="8" quotePrefix="1" applyNumberFormat="1" applyFont="1" applyFill="1" applyBorder="1" applyAlignment="1">
      <alignment horizontal="center" vertical="center"/>
    </xf>
    <xf numFmtId="0" fontId="51" fillId="0" borderId="5" xfId="8" quotePrefix="1" applyNumberFormat="1" applyFont="1" applyFill="1" applyBorder="1" applyAlignment="1">
      <alignment horizontal="center" vertical="center"/>
    </xf>
    <xf numFmtId="0" fontId="51" fillId="24" borderId="5" xfId="8" quotePrefix="1" applyNumberFormat="1" applyFont="1" applyFill="1" applyBorder="1" applyAlignment="1">
      <alignment horizontal="center" vertical="center"/>
    </xf>
    <xf numFmtId="0" fontId="25" fillId="24" borderId="5" xfId="8" quotePrefix="1" applyNumberFormat="1" applyFont="1" applyFill="1" applyBorder="1" applyAlignment="1">
      <alignment horizontal="center" vertical="center"/>
    </xf>
    <xf numFmtId="0" fontId="51" fillId="11" borderId="5" xfId="8" quotePrefix="1" applyNumberFormat="1" applyFont="1" applyFill="1" applyBorder="1" applyAlignment="1">
      <alignment horizontal="center" vertical="center"/>
    </xf>
    <xf numFmtId="0" fontId="51" fillId="11" borderId="0" xfId="0" applyFont="1" applyFill="1" applyAlignment="1">
      <alignment horizontal="center" vertical="center"/>
    </xf>
    <xf numFmtId="0" fontId="51" fillId="6" borderId="5" xfId="8" quotePrefix="1" applyNumberFormat="1" applyFont="1" applyFill="1" applyBorder="1" applyAlignment="1">
      <alignment horizontal="center" vertical="center"/>
    </xf>
    <xf numFmtId="0" fontId="25" fillId="6" borderId="5" xfId="8" quotePrefix="1" applyNumberFormat="1" applyFont="1" applyFill="1" applyBorder="1" applyAlignment="1">
      <alignment horizontal="center" vertical="center"/>
    </xf>
    <xf numFmtId="0" fontId="51" fillId="6" borderId="0" xfId="0" applyFont="1" applyFill="1" applyAlignment="1">
      <alignment horizontal="center" vertical="center"/>
    </xf>
    <xf numFmtId="0" fontId="13" fillId="0" borderId="0" xfId="0" applyFont="1" applyAlignment="1">
      <alignment horizontal="center"/>
    </xf>
    <xf numFmtId="0" fontId="0" fillId="4" borderId="14" xfId="0" applyFill="1" applyBorder="1" applyAlignment="1">
      <alignment horizontal="center"/>
    </xf>
    <xf numFmtId="0" fontId="13" fillId="4" borderId="15" xfId="0" applyFont="1"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13" fillId="4" borderId="17" xfId="0" applyFont="1" applyFill="1" applyBorder="1" applyAlignment="1">
      <alignment horizontal="center"/>
    </xf>
    <xf numFmtId="0" fontId="13" fillId="6" borderId="0" xfId="0" applyFont="1" applyFill="1" applyAlignment="1">
      <alignment horizontal="center"/>
    </xf>
    <xf numFmtId="0" fontId="13" fillId="4" borderId="0" xfId="0" applyFont="1" applyFill="1" applyAlignment="1">
      <alignment horizontal="center"/>
    </xf>
    <xf numFmtId="0" fontId="0" fillId="4" borderId="18" xfId="0" applyFill="1" applyBorder="1" applyAlignment="1">
      <alignment horizontal="center"/>
    </xf>
    <xf numFmtId="0" fontId="13" fillId="19" borderId="17" xfId="0" applyFont="1" applyFill="1" applyBorder="1" applyAlignment="1">
      <alignment horizontal="center"/>
    </xf>
    <xf numFmtId="0" fontId="0" fillId="4" borderId="0" xfId="0" applyFill="1" applyAlignment="1">
      <alignment horizontal="center"/>
    </xf>
    <xf numFmtId="0" fontId="13" fillId="19" borderId="0" xfId="0" applyFont="1" applyFill="1" applyAlignment="1">
      <alignment horizontal="center"/>
    </xf>
    <xf numFmtId="0" fontId="13" fillId="4" borderId="18" xfId="0" applyFont="1" applyFill="1" applyBorder="1" applyAlignment="1">
      <alignment horizontal="center"/>
    </xf>
    <xf numFmtId="0" fontId="0" fillId="4" borderId="17" xfId="0" applyFill="1" applyBorder="1" applyAlignment="1">
      <alignment horizontal="center"/>
    </xf>
    <xf numFmtId="0" fontId="13" fillId="6" borderId="17" xfId="0" applyFont="1"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13" fillId="4" borderId="21" xfId="0" applyFont="1" applyFill="1" applyBorder="1" applyAlignment="1">
      <alignment horizontal="center"/>
    </xf>
    <xf numFmtId="0" fontId="13" fillId="0" borderId="0" xfId="0" applyFont="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15" borderId="24" xfId="0" applyFill="1" applyBorder="1" applyAlignment="1">
      <alignment horizontal="center"/>
    </xf>
    <xf numFmtId="0" fontId="0" fillId="0" borderId="25" xfId="0" applyBorder="1" applyAlignment="1">
      <alignment horizontal="center"/>
    </xf>
    <xf numFmtId="0" fontId="0" fillId="15" borderId="0" xfId="0" applyFill="1" applyAlignment="1">
      <alignment horizontal="center"/>
    </xf>
    <xf numFmtId="0" fontId="0" fillId="15" borderId="26" xfId="0" applyFill="1" applyBorder="1" applyAlignment="1">
      <alignment horizontal="center"/>
    </xf>
    <xf numFmtId="0" fontId="0" fillId="15" borderId="25" xfId="0" applyFill="1" applyBorder="1" applyAlignment="1">
      <alignment horizontal="center"/>
    </xf>
    <xf numFmtId="0" fontId="13" fillId="12" borderId="0" xfId="0" applyFont="1" applyFill="1" applyAlignment="1">
      <alignment horizontal="center"/>
    </xf>
    <xf numFmtId="0" fontId="0" fillId="0" borderId="26" xfId="0" applyBorder="1" applyAlignment="1">
      <alignment horizontal="center"/>
    </xf>
    <xf numFmtId="0" fontId="0" fillId="15" borderId="27" xfId="0"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11" fontId="0" fillId="0" borderId="0" xfId="0" applyNumberFormat="1" applyAlignment="1">
      <alignment vertical="center"/>
    </xf>
    <xf numFmtId="1" fontId="45" fillId="0" borderId="5" xfId="8" quotePrefix="1" applyNumberFormat="1" applyFont="1" applyFill="1" applyBorder="1" applyAlignment="1">
      <alignment horizontal="center" vertical="center"/>
    </xf>
    <xf numFmtId="0" fontId="3" fillId="2" borderId="0" xfId="3" applyAlignment="1">
      <alignment horizontal="center" vertical="center"/>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167" fontId="0" fillId="0" borderId="0" xfId="0" applyNumberFormat="1" applyAlignment="1">
      <alignment horizontal="center" vertical="center"/>
    </xf>
    <xf numFmtId="169" fontId="43" fillId="11" borderId="0" xfId="0" applyNumberFormat="1" applyFont="1" applyFill="1" applyAlignment="1">
      <alignment horizontal="center" vertical="center"/>
    </xf>
  </cellXfs>
  <cellStyles count="10">
    <cellStyle name="60% - Accent1" xfId="9" builtinId="32"/>
    <cellStyle name="Currency" xfId="8" builtinId="4"/>
    <cellStyle name="Heading 2" xfId="1" builtinId="17" customBuiltin="1"/>
    <cellStyle name="Heading 3" xfId="6" builtinId="18" customBuiltin="1"/>
    <cellStyle name="Hyperlink" xfId="2" builtinId="8"/>
    <cellStyle name="Normal" xfId="0" builtinId="0"/>
    <cellStyle name="v42_caution_note" xfId="7" xr:uid="{00000000-0005-0000-0000-000008000000}"/>
    <cellStyle name="v42_H_Practice" xfId="4" xr:uid="{00000000-0005-0000-0000-000009000000}"/>
    <cellStyle name="v42_refnote" xfId="5" xr:uid="{00000000-0005-0000-0000-00000B000000}"/>
    <cellStyle name="v42_Title" xfId="3" xr:uid="{00000000-0005-0000-0000-00000C000000}"/>
  </cellStyles>
  <dxfs count="0"/>
  <tableStyles count="0" defaultTableStyle="TableStyleMedium2" defaultPivotStyle="PivotStyleLight16"/>
  <colors>
    <mruColors>
      <color rgb="FFC9C9C9"/>
      <color rgb="FFB8B8B8"/>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Polynomials!$C$18</c:f>
          <c:strCache>
            <c:ptCount val="1"/>
            <c:pt idx="0">
              <c:v>POLYFIT, n=2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936432583640652E-2"/>
          <c:y val="0.1887406758885285"/>
          <c:w val="0.87330612919839667"/>
          <c:h val="0.65500196620219675"/>
        </c:manualLayout>
      </c:layout>
      <c:scatterChart>
        <c:scatterStyle val="lineMarker"/>
        <c:varyColors val="0"/>
        <c:ser>
          <c:idx val="0"/>
          <c:order val="0"/>
          <c:tx>
            <c:v>Data</c:v>
          </c:tx>
          <c:spPr>
            <a:ln w="25400" cap="rnd">
              <a:noFill/>
              <a:round/>
            </a:ln>
            <a:effectLst/>
          </c:spPr>
          <c:marker>
            <c:symbol val="circle"/>
            <c:size val="7"/>
            <c:spPr>
              <a:solidFill>
                <a:schemeClr val="accent1"/>
              </a:solidFill>
              <a:ln w="9525">
                <a:solidFill>
                  <a:schemeClr val="accent1"/>
                </a:solidFill>
              </a:ln>
              <a:effectLst/>
            </c:spPr>
          </c:marker>
          <c:xVal>
            <c:numRef>
              <c:f>Polynomials!$C$23:$C$28</c:f>
              <c:numCache>
                <c:formatCode>General</c:formatCode>
                <c:ptCount val="6"/>
                <c:pt idx="0">
                  <c:v>2</c:v>
                </c:pt>
                <c:pt idx="1">
                  <c:v>2.5</c:v>
                </c:pt>
                <c:pt idx="2">
                  <c:v>4</c:v>
                </c:pt>
                <c:pt idx="3">
                  <c:v>4.5</c:v>
                </c:pt>
                <c:pt idx="4">
                  <c:v>5.0999999999999996</c:v>
                </c:pt>
                <c:pt idx="5">
                  <c:v>5.7</c:v>
                </c:pt>
              </c:numCache>
            </c:numRef>
          </c:xVal>
          <c:yVal>
            <c:numRef>
              <c:f>Polynomials!$D$23:$D$28</c:f>
              <c:numCache>
                <c:formatCode>General</c:formatCode>
                <c:ptCount val="6"/>
                <c:pt idx="0">
                  <c:v>22.5</c:v>
                </c:pt>
                <c:pt idx="1">
                  <c:v>13</c:v>
                </c:pt>
                <c:pt idx="2">
                  <c:v>7</c:v>
                </c:pt>
                <c:pt idx="3">
                  <c:v>14</c:v>
                </c:pt>
                <c:pt idx="4">
                  <c:v>16</c:v>
                </c:pt>
                <c:pt idx="5">
                  <c:v>22</c:v>
                </c:pt>
              </c:numCache>
            </c:numRef>
          </c:yVal>
          <c:smooth val="0"/>
          <c:extLst>
            <c:ext xmlns:c16="http://schemas.microsoft.com/office/drawing/2014/chart" uri="{C3380CC4-5D6E-409C-BE32-E72D297353CC}">
              <c16:uniqueId val="{00000000-F1E0-4CFE-AB77-EB191B77CA34}"/>
            </c:ext>
          </c:extLst>
        </c:ser>
        <c:ser>
          <c:idx val="1"/>
          <c:order val="1"/>
          <c:tx>
            <c:v>Fit Points</c:v>
          </c:tx>
          <c:spPr>
            <a:ln w="12700" cap="rnd">
              <a:solidFill>
                <a:srgbClr val="C00000"/>
              </a:solidFill>
              <a:prstDash val="sysDash"/>
              <a:round/>
            </a:ln>
            <a:effectLst/>
          </c:spPr>
          <c:marker>
            <c:symbol val="circle"/>
            <c:size val="6"/>
            <c:spPr>
              <a:noFill/>
              <a:ln w="19050">
                <a:solidFill>
                  <a:srgbClr val="C00000"/>
                </a:solidFill>
              </a:ln>
              <a:effectLst/>
            </c:spPr>
          </c:marker>
          <c:xVal>
            <c:numRef>
              <c:f>Polynomials!$C$31:$C$41</c:f>
              <c:numCache>
                <c:formatCode>General</c:formatCode>
                <c:ptCount val="11"/>
                <c:pt idx="0">
                  <c:v>2</c:v>
                </c:pt>
                <c:pt idx="1">
                  <c:v>2.37</c:v>
                </c:pt>
                <c:pt idx="2">
                  <c:v>2.74</c:v>
                </c:pt>
                <c:pt idx="3">
                  <c:v>3.1100000000000003</c:v>
                </c:pt>
                <c:pt idx="4">
                  <c:v>3.4800000000000004</c:v>
                </c:pt>
                <c:pt idx="5">
                  <c:v>3.8500000000000005</c:v>
                </c:pt>
                <c:pt idx="6">
                  <c:v>4.2200000000000006</c:v>
                </c:pt>
                <c:pt idx="7">
                  <c:v>4.5900000000000007</c:v>
                </c:pt>
                <c:pt idx="8">
                  <c:v>4.9600000000000009</c:v>
                </c:pt>
                <c:pt idx="9">
                  <c:v>5.330000000000001</c:v>
                </c:pt>
                <c:pt idx="10">
                  <c:v>5.7000000000000011</c:v>
                </c:pt>
              </c:numCache>
            </c:numRef>
          </c:xVal>
          <c:yVal>
            <c:numRef>
              <c:f>Polynomials!$E$31:$E$41</c:f>
              <c:numCache>
                <c:formatCode>General</c:formatCode>
                <c:ptCount val="11"/>
                <c:pt idx="0">
                  <c:v>20.884214317028878</c:v>
                </c:pt>
                <c:pt idx="1">
                  <c:v>16.37707697198951</c:v>
                </c:pt>
                <c:pt idx="2">
                  <c:v>12.92048783707682</c:v>
                </c:pt>
                <c:pt idx="3">
                  <c:v>10.514446912290836</c:v>
                </c:pt>
                <c:pt idx="4">
                  <c:v>9.158954197631509</c:v>
                </c:pt>
                <c:pt idx="5">
                  <c:v>8.8540096930988526</c:v>
                </c:pt>
                <c:pt idx="6">
                  <c:v>9.5996133986928953</c:v>
                </c:pt>
                <c:pt idx="7">
                  <c:v>11.395765314413623</c:v>
                </c:pt>
                <c:pt idx="8">
                  <c:v>14.242465440260986</c:v>
                </c:pt>
                <c:pt idx="9">
                  <c:v>18.13971377623507</c:v>
                </c:pt>
                <c:pt idx="10">
                  <c:v>23.087510322335817</c:v>
                </c:pt>
              </c:numCache>
            </c:numRef>
          </c:yVal>
          <c:smooth val="0"/>
          <c:extLst>
            <c:ext xmlns:c16="http://schemas.microsoft.com/office/drawing/2014/chart" uri="{C3380CC4-5D6E-409C-BE32-E72D297353CC}">
              <c16:uniqueId val="{00000001-F1E0-4CFE-AB77-EB191B77CA34}"/>
            </c:ext>
          </c:extLst>
        </c:ser>
        <c:dLbls>
          <c:showLegendKey val="0"/>
          <c:showVal val="0"/>
          <c:showCatName val="0"/>
          <c:showSerName val="0"/>
          <c:showPercent val="0"/>
          <c:showBubbleSize val="0"/>
        </c:dLbls>
        <c:axId val="1620767599"/>
        <c:axId val="1625613567"/>
      </c:scatterChart>
      <c:valAx>
        <c:axId val="162076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x</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25613567"/>
        <c:crosses val="autoZero"/>
        <c:crossBetween val="midCat"/>
      </c:valAx>
      <c:valAx>
        <c:axId val="1625613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20767599"/>
        <c:crosses val="autoZero"/>
        <c:crossBetween val="midCat"/>
      </c:valAx>
      <c:spPr>
        <a:noFill/>
        <a:ln>
          <a:noFill/>
        </a:ln>
        <a:effectLst/>
      </c:spPr>
    </c:plotArea>
    <c:legend>
      <c:legendPos val="t"/>
      <c:layout>
        <c:manualLayout>
          <c:xMode val="edge"/>
          <c:yMode val="edge"/>
          <c:x val="0.24209844935027294"/>
          <c:y val="9.9134951881014871E-2"/>
          <c:w val="0.5103495805355619"/>
          <c:h val="7.08265631614443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Linear Interpolation via LINTERP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367734678726509E-2"/>
          <c:y val="0.19597280040914197"/>
          <c:w val="0.8766200613557168"/>
          <c:h val="0.71962171559046384"/>
        </c:manualLayout>
      </c:layout>
      <c:scatterChart>
        <c:scatterStyle val="lineMarker"/>
        <c:varyColors val="0"/>
        <c:ser>
          <c:idx val="0"/>
          <c:order val="0"/>
          <c:tx>
            <c:v>Data</c:v>
          </c:tx>
          <c:spPr>
            <a:ln w="19050" cap="rnd">
              <a:solidFill>
                <a:schemeClr val="accent1"/>
              </a:solidFill>
              <a:prstDash val="sysDash"/>
              <a:round/>
            </a:ln>
            <a:effectLst/>
          </c:spPr>
          <c:marker>
            <c:symbol val="circle"/>
            <c:size val="6"/>
            <c:spPr>
              <a:solidFill>
                <a:schemeClr val="accent1"/>
              </a:solidFill>
              <a:ln w="9525">
                <a:noFill/>
                <a:prstDash val="sysDash"/>
              </a:ln>
              <a:effectLst/>
            </c:spPr>
          </c:marker>
          <c:xVal>
            <c:numRef>
              <c:f>Polynomials!$C$52:$C$59</c:f>
              <c:numCache>
                <c:formatCode>General</c:formatCode>
                <c:ptCount val="8"/>
                <c:pt idx="0">
                  <c:v>2</c:v>
                </c:pt>
                <c:pt idx="1">
                  <c:v>3</c:v>
                </c:pt>
                <c:pt idx="2">
                  <c:v>4</c:v>
                </c:pt>
                <c:pt idx="3">
                  <c:v>5</c:v>
                </c:pt>
                <c:pt idx="4">
                  <c:v>6</c:v>
                </c:pt>
                <c:pt idx="5">
                  <c:v>7</c:v>
                </c:pt>
                <c:pt idx="6">
                  <c:v>8</c:v>
                </c:pt>
                <c:pt idx="7">
                  <c:v>9</c:v>
                </c:pt>
              </c:numCache>
            </c:numRef>
          </c:xVal>
          <c:yVal>
            <c:numRef>
              <c:f>Polynomials!$D$52:$D$59</c:f>
              <c:numCache>
                <c:formatCode>General</c:formatCode>
                <c:ptCount val="8"/>
                <c:pt idx="0">
                  <c:v>0.90929742682568171</c:v>
                </c:pt>
                <c:pt idx="1">
                  <c:v>0.14112000805986721</c:v>
                </c:pt>
                <c:pt idx="2">
                  <c:v>-0.7568024953079282</c:v>
                </c:pt>
                <c:pt idx="3">
                  <c:v>-0.95892427466313845</c:v>
                </c:pt>
                <c:pt idx="4">
                  <c:v>-0.27941549819892586</c:v>
                </c:pt>
                <c:pt idx="5">
                  <c:v>0.65698659871878906</c:v>
                </c:pt>
                <c:pt idx="6">
                  <c:v>0.98935824662338179</c:v>
                </c:pt>
                <c:pt idx="7">
                  <c:v>0.41211848524175659</c:v>
                </c:pt>
              </c:numCache>
            </c:numRef>
          </c:yVal>
          <c:smooth val="0"/>
          <c:extLst>
            <c:ext xmlns:c16="http://schemas.microsoft.com/office/drawing/2014/chart" uri="{C3380CC4-5D6E-409C-BE32-E72D297353CC}">
              <c16:uniqueId val="{00000000-7641-4DEE-B71C-2E82C7E9302A}"/>
            </c:ext>
          </c:extLst>
        </c:ser>
        <c:ser>
          <c:idx val="1"/>
          <c:order val="1"/>
          <c:tx>
            <c:v>LINTERP</c:v>
          </c:tx>
          <c:spPr>
            <a:ln w="19050" cap="rnd">
              <a:noFill/>
              <a:round/>
            </a:ln>
            <a:effectLst/>
          </c:spPr>
          <c:marker>
            <c:symbol val="circle"/>
            <c:size val="7"/>
            <c:spPr>
              <a:noFill/>
              <a:ln w="25400">
                <a:solidFill>
                  <a:srgbClr val="C00000"/>
                </a:solidFill>
              </a:ln>
              <a:effectLst/>
            </c:spPr>
          </c:marker>
          <c:xVal>
            <c:numRef>
              <c:f>Polynomials!$F$52:$F$60</c:f>
              <c:numCache>
                <c:formatCode>General</c:formatCode>
                <c:ptCount val="9"/>
                <c:pt idx="0">
                  <c:v>1.5</c:v>
                </c:pt>
                <c:pt idx="1">
                  <c:v>2.5</c:v>
                </c:pt>
                <c:pt idx="2">
                  <c:v>3.5</c:v>
                </c:pt>
                <c:pt idx="3">
                  <c:v>4.5</c:v>
                </c:pt>
                <c:pt idx="4">
                  <c:v>5.5</c:v>
                </c:pt>
                <c:pt idx="5">
                  <c:v>6.5</c:v>
                </c:pt>
                <c:pt idx="6">
                  <c:v>7.5</c:v>
                </c:pt>
                <c:pt idx="7">
                  <c:v>8.5</c:v>
                </c:pt>
                <c:pt idx="8">
                  <c:v>9.5</c:v>
                </c:pt>
              </c:numCache>
            </c:numRef>
          </c:xVal>
          <c:yVal>
            <c:numRef>
              <c:f>Polynomials!$G$52:$G$60</c:f>
              <c:numCache>
                <c:formatCode>General</c:formatCode>
                <c:ptCount val="9"/>
                <c:pt idx="0">
                  <c:v>1.293386136208589</c:v>
                </c:pt>
                <c:pt idx="1">
                  <c:v>0.52520871744277442</c:v>
                </c:pt>
                <c:pt idx="2">
                  <c:v>-0.30784124362403054</c:v>
                </c:pt>
                <c:pt idx="3">
                  <c:v>-0.85786338498553327</c:v>
                </c:pt>
                <c:pt idx="4">
                  <c:v>-0.61916988643103199</c:v>
                </c:pt>
                <c:pt idx="5">
                  <c:v>0.18878555025993116</c:v>
                </c:pt>
                <c:pt idx="6">
                  <c:v>0.82317242267108548</c:v>
                </c:pt>
                <c:pt idx="7">
                  <c:v>0.700738365932569</c:v>
                </c:pt>
                <c:pt idx="8">
                  <c:v>0.12349860455094408</c:v>
                </c:pt>
              </c:numCache>
            </c:numRef>
          </c:yVal>
          <c:smooth val="0"/>
          <c:extLst>
            <c:ext xmlns:c16="http://schemas.microsoft.com/office/drawing/2014/chart" uri="{C3380CC4-5D6E-409C-BE32-E72D297353CC}">
              <c16:uniqueId val="{00000001-7641-4DEE-B71C-2E82C7E9302A}"/>
            </c:ext>
          </c:extLst>
        </c:ser>
        <c:dLbls>
          <c:showLegendKey val="0"/>
          <c:showVal val="0"/>
          <c:showCatName val="0"/>
          <c:showSerName val="0"/>
          <c:showPercent val="0"/>
          <c:showBubbleSize val="0"/>
        </c:dLbls>
        <c:axId val="1620767599"/>
        <c:axId val="1625613567"/>
      </c:scatterChart>
      <c:valAx>
        <c:axId val="162076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x</a:t>
                </a:r>
              </a:p>
            </c:rich>
          </c:tx>
          <c:layout>
            <c:manualLayout>
              <c:xMode val="edge"/>
              <c:yMode val="edge"/>
              <c:x val="0.52545263190531721"/>
              <c:y val="0.93508769937152136"/>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613567"/>
        <c:crosses val="autoZero"/>
        <c:crossBetween val="midCat"/>
      </c:valAx>
      <c:valAx>
        <c:axId val="1625613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y</a:t>
                </a:r>
              </a:p>
            </c:rich>
          </c:tx>
          <c:layout>
            <c:manualLayout>
              <c:xMode val="edge"/>
              <c:yMode val="edge"/>
              <c:x val="1.0937922552618298E-2"/>
              <c:y val="0.5321577664679794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0767599"/>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Polynomials!$C$85</c:f>
          <c:strCache>
            <c:ptCount val="1"/>
            <c:pt idx="0">
              <c:v>Polynomial Interpolation, n=3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0565723134481E-2"/>
          <c:y val="0.21936462045544053"/>
          <c:w val="0.87115643985262214"/>
          <c:h val="0.70012853221854832"/>
        </c:manualLayout>
      </c:layout>
      <c:scatterChart>
        <c:scatterStyle val="lineMarker"/>
        <c:varyColors val="0"/>
        <c:ser>
          <c:idx val="0"/>
          <c:order val="0"/>
          <c:tx>
            <c:v>Data</c:v>
          </c:tx>
          <c:spPr>
            <a:ln w="25400" cap="rnd">
              <a:noFill/>
              <a:round/>
            </a:ln>
            <a:effectLst/>
          </c:spPr>
          <c:marker>
            <c:symbol val="circle"/>
            <c:size val="8"/>
            <c:spPr>
              <a:solidFill>
                <a:schemeClr val="accent1"/>
              </a:solidFill>
              <a:ln w="9525">
                <a:solidFill>
                  <a:schemeClr val="accent1"/>
                </a:solidFill>
              </a:ln>
              <a:effectLst/>
            </c:spPr>
          </c:marker>
          <c:xVal>
            <c:numRef>
              <c:f>Polynomials!$C$90:$C$97</c:f>
              <c:numCache>
                <c:formatCode>General</c:formatCode>
                <c:ptCount val="8"/>
                <c:pt idx="0">
                  <c:v>1</c:v>
                </c:pt>
                <c:pt idx="1">
                  <c:v>1.8975979010256552</c:v>
                </c:pt>
                <c:pt idx="2">
                  <c:v>2.7951958020513104</c:v>
                </c:pt>
                <c:pt idx="3">
                  <c:v>3.6927937030769655</c:v>
                </c:pt>
                <c:pt idx="4">
                  <c:v>4.5903916041026207</c:v>
                </c:pt>
                <c:pt idx="5">
                  <c:v>5.4879895051282759</c:v>
                </c:pt>
                <c:pt idx="6">
                  <c:v>6.3855874061539311</c:v>
                </c:pt>
                <c:pt idx="7">
                  <c:v>7.2831853071795862</c:v>
                </c:pt>
              </c:numCache>
            </c:numRef>
          </c:xVal>
          <c:yVal>
            <c:numRef>
              <c:f>Polynomials!$D$90:$D$97</c:f>
              <c:numCache>
                <c:formatCode>General</c:formatCode>
                <c:ptCount val="8"/>
                <c:pt idx="0">
                  <c:v>0.54030230586813977</c:v>
                </c:pt>
                <c:pt idx="1">
                  <c:v>-0.32101552987664739</c:v>
                </c:pt>
                <c:pt idx="2">
                  <c:v>-0.94060212410087418</c:v>
                </c:pt>
                <c:pt idx="3">
                  <c:v>-0.8518961340904686</c:v>
                </c:pt>
                <c:pt idx="4">
                  <c:v>-0.12169497959570048</c:v>
                </c:pt>
                <c:pt idx="5">
                  <c:v>0.70014497665981668</c:v>
                </c:pt>
                <c:pt idx="6">
                  <c:v>0.99476148513573404</c:v>
                </c:pt>
                <c:pt idx="7">
                  <c:v>0.54030230586813988</c:v>
                </c:pt>
              </c:numCache>
            </c:numRef>
          </c:yVal>
          <c:smooth val="0"/>
          <c:extLst>
            <c:ext xmlns:c16="http://schemas.microsoft.com/office/drawing/2014/chart" uri="{C3380CC4-5D6E-409C-BE32-E72D297353CC}">
              <c16:uniqueId val="{00000000-8D1E-49DD-AB89-02664ACC445F}"/>
            </c:ext>
          </c:extLst>
        </c:ser>
        <c:ser>
          <c:idx val="2"/>
          <c:order val="1"/>
          <c:tx>
            <c:v>PINTERP</c:v>
          </c:tx>
          <c:spPr>
            <a:ln w="19050" cap="rnd">
              <a:noFill/>
              <a:round/>
            </a:ln>
            <a:effectLst/>
          </c:spPr>
          <c:marker>
            <c:symbol val="x"/>
            <c:size val="6"/>
            <c:spPr>
              <a:noFill/>
              <a:ln w="6350">
                <a:solidFill>
                  <a:srgbClr val="FF0000"/>
                </a:solidFill>
              </a:ln>
              <a:effectLst/>
            </c:spPr>
          </c:marker>
          <c:xVal>
            <c:numRef>
              <c:f>Polynomials!$F$88:$F$117</c:f>
              <c:numCache>
                <c:formatCode>General</c:formatCode>
                <c:ptCount val="30"/>
                <c:pt idx="0">
                  <c:v>1</c:v>
                </c:pt>
                <c:pt idx="1">
                  <c:v>1.2166615623165375</c:v>
                </c:pt>
                <c:pt idx="2">
                  <c:v>1.4333231246330751</c:v>
                </c:pt>
                <c:pt idx="3">
                  <c:v>1.6499846869496126</c:v>
                </c:pt>
                <c:pt idx="4">
                  <c:v>1.8666462492661502</c:v>
                </c:pt>
                <c:pt idx="5">
                  <c:v>2.0833078115826877</c:v>
                </c:pt>
                <c:pt idx="6">
                  <c:v>2.2999693738992253</c:v>
                </c:pt>
                <c:pt idx="7">
                  <c:v>2.5166309362157628</c:v>
                </c:pt>
                <c:pt idx="8">
                  <c:v>2.7332924985323004</c:v>
                </c:pt>
                <c:pt idx="9">
                  <c:v>2.9499540608488379</c:v>
                </c:pt>
                <c:pt idx="10">
                  <c:v>3.1666156231653755</c:v>
                </c:pt>
                <c:pt idx="11">
                  <c:v>3.383277185481913</c:v>
                </c:pt>
                <c:pt idx="12">
                  <c:v>3.5999387477984506</c:v>
                </c:pt>
                <c:pt idx="13">
                  <c:v>3.8166003101149881</c:v>
                </c:pt>
                <c:pt idx="14">
                  <c:v>4.0332618724315257</c:v>
                </c:pt>
                <c:pt idx="15">
                  <c:v>4.2499234347480632</c:v>
                </c:pt>
                <c:pt idx="16">
                  <c:v>4.4665849970646008</c:v>
                </c:pt>
                <c:pt idx="17">
                  <c:v>4.6832465593811383</c:v>
                </c:pt>
                <c:pt idx="18">
                  <c:v>4.8999081216976759</c:v>
                </c:pt>
                <c:pt idx="19">
                  <c:v>5.1165696840142134</c:v>
                </c:pt>
                <c:pt idx="20">
                  <c:v>5.333231246330751</c:v>
                </c:pt>
                <c:pt idx="21">
                  <c:v>5.5498928086472885</c:v>
                </c:pt>
                <c:pt idx="22">
                  <c:v>5.7665543709638261</c:v>
                </c:pt>
                <c:pt idx="23">
                  <c:v>5.9832159332803636</c:v>
                </c:pt>
                <c:pt idx="24">
                  <c:v>6.1998774955969012</c:v>
                </c:pt>
                <c:pt idx="25">
                  <c:v>6.4165390579134387</c:v>
                </c:pt>
                <c:pt idx="26">
                  <c:v>6.6332006202299763</c:v>
                </c:pt>
                <c:pt idx="27">
                  <c:v>6.8498621825465138</c:v>
                </c:pt>
                <c:pt idx="28">
                  <c:v>7.0665237448630513</c:v>
                </c:pt>
                <c:pt idx="29">
                  <c:v>7.2831853071795889</c:v>
                </c:pt>
              </c:numCache>
            </c:numRef>
          </c:xVal>
          <c:yVal>
            <c:numRef>
              <c:f>Polynomials!$G$88:$G$117</c:f>
              <c:numCache>
                <c:formatCode>General</c:formatCode>
                <c:ptCount val="30"/>
                <c:pt idx="0">
                  <c:v>0.54030230586813999</c:v>
                </c:pt>
                <c:pt idx="1">
                  <c:v>0.33530680938479662</c:v>
                </c:pt>
                <c:pt idx="2">
                  <c:v>0.12377340510510854</c:v>
                </c:pt>
                <c:pt idx="3">
                  <c:v>-8.7736320167409121E-2</c:v>
                </c:pt>
                <c:pt idx="4">
                  <c:v>-0.2926607796292417</c:v>
                </c:pt>
                <c:pt idx="5">
                  <c:v>-0.48443838647687398</c:v>
                </c:pt>
                <c:pt idx="6">
                  <c:v>-0.65650755390679127</c:v>
                </c:pt>
                <c:pt idx="7">
                  <c:v>-0.80230669511547847</c:v>
                </c:pt>
                <c:pt idx="8">
                  <c:v>-0.91527422329942054</c:v>
                </c:pt>
                <c:pt idx="9">
                  <c:v>-0.97397775094676053</c:v>
                </c:pt>
                <c:pt idx="10">
                  <c:v>-0.98598295192690844</c:v>
                </c:pt>
                <c:pt idx="11">
                  <c:v>-0.95833064831956793</c:v>
                </c:pt>
                <c:pt idx="12">
                  <c:v>-0.89196026014910845</c:v>
                </c:pt>
                <c:pt idx="13">
                  <c:v>-0.77691767270557854</c:v>
                </c:pt>
                <c:pt idx="14">
                  <c:v>-0.62067842685394026</c:v>
                </c:pt>
                <c:pt idx="15">
                  <c:v>-0.43921502055192463</c:v>
                </c:pt>
                <c:pt idx="16">
                  <c:v>-0.24026047821275903</c:v>
                </c:pt>
                <c:pt idx="17">
                  <c:v>-3.0370799815878244E-2</c:v>
                </c:pt>
                <c:pt idx="18">
                  <c:v>0.18268420821193429</c:v>
                </c:pt>
                <c:pt idx="19">
                  <c:v>0.38864488006471903</c:v>
                </c:pt>
                <c:pt idx="20">
                  <c:v>0.57880771204850212</c:v>
                </c:pt>
                <c:pt idx="21">
                  <c:v>0.73992757134667853</c:v>
                </c:pt>
                <c:pt idx="22">
                  <c:v>0.8583686473686547</c:v>
                </c:pt>
                <c:pt idx="23">
                  <c:v>0.94208007653676651</c:v>
                </c:pt>
                <c:pt idx="24">
                  <c:v>0.9879417916769756</c:v>
                </c:pt>
                <c:pt idx="25">
                  <c:v>0.99283372561524386</c:v>
                </c:pt>
                <c:pt idx="26">
                  <c:v>0.95363581117753227</c:v>
                </c:pt>
                <c:pt idx="27">
                  <c:v>0.86722798118980315</c:v>
                </c:pt>
                <c:pt idx="28">
                  <c:v>0.73049016847801751</c:v>
                </c:pt>
                <c:pt idx="29">
                  <c:v>0.54030230586813732</c:v>
                </c:pt>
              </c:numCache>
            </c:numRef>
          </c:yVal>
          <c:smooth val="0"/>
          <c:extLst>
            <c:ext xmlns:c16="http://schemas.microsoft.com/office/drawing/2014/chart" uri="{C3380CC4-5D6E-409C-BE32-E72D297353CC}">
              <c16:uniqueId val="{00000001-8D1E-49DD-AB89-02664ACC445F}"/>
            </c:ext>
          </c:extLst>
        </c:ser>
        <c:ser>
          <c:idx val="1"/>
          <c:order val="2"/>
          <c:tx>
            <c:v>COS(X)</c:v>
          </c:tx>
          <c:spPr>
            <a:ln w="15875" cap="rnd">
              <a:solidFill>
                <a:schemeClr val="accent1"/>
              </a:solidFill>
              <a:round/>
            </a:ln>
            <a:effectLst/>
          </c:spPr>
          <c:marker>
            <c:symbol val="none"/>
          </c:marker>
          <c:xVal>
            <c:numRef>
              <c:f>Polynomials!$F$88:$F$117</c:f>
              <c:numCache>
                <c:formatCode>General</c:formatCode>
                <c:ptCount val="30"/>
                <c:pt idx="0">
                  <c:v>1</c:v>
                </c:pt>
                <c:pt idx="1">
                  <c:v>1.2166615623165375</c:v>
                </c:pt>
                <c:pt idx="2">
                  <c:v>1.4333231246330751</c:v>
                </c:pt>
                <c:pt idx="3">
                  <c:v>1.6499846869496126</c:v>
                </c:pt>
                <c:pt idx="4">
                  <c:v>1.8666462492661502</c:v>
                </c:pt>
                <c:pt idx="5">
                  <c:v>2.0833078115826877</c:v>
                </c:pt>
                <c:pt idx="6">
                  <c:v>2.2999693738992253</c:v>
                </c:pt>
                <c:pt idx="7">
                  <c:v>2.5166309362157628</c:v>
                </c:pt>
                <c:pt idx="8">
                  <c:v>2.7332924985323004</c:v>
                </c:pt>
                <c:pt idx="9">
                  <c:v>2.9499540608488379</c:v>
                </c:pt>
                <c:pt idx="10">
                  <c:v>3.1666156231653755</c:v>
                </c:pt>
                <c:pt idx="11">
                  <c:v>3.383277185481913</c:v>
                </c:pt>
                <c:pt idx="12">
                  <c:v>3.5999387477984506</c:v>
                </c:pt>
                <c:pt idx="13">
                  <c:v>3.8166003101149881</c:v>
                </c:pt>
                <c:pt idx="14">
                  <c:v>4.0332618724315257</c:v>
                </c:pt>
                <c:pt idx="15">
                  <c:v>4.2499234347480632</c:v>
                </c:pt>
                <c:pt idx="16">
                  <c:v>4.4665849970646008</c:v>
                </c:pt>
                <c:pt idx="17">
                  <c:v>4.6832465593811383</c:v>
                </c:pt>
                <c:pt idx="18">
                  <c:v>4.8999081216976759</c:v>
                </c:pt>
                <c:pt idx="19">
                  <c:v>5.1165696840142134</c:v>
                </c:pt>
                <c:pt idx="20">
                  <c:v>5.333231246330751</c:v>
                </c:pt>
                <c:pt idx="21">
                  <c:v>5.5498928086472885</c:v>
                </c:pt>
                <c:pt idx="22">
                  <c:v>5.7665543709638261</c:v>
                </c:pt>
                <c:pt idx="23">
                  <c:v>5.9832159332803636</c:v>
                </c:pt>
                <c:pt idx="24">
                  <c:v>6.1998774955969012</c:v>
                </c:pt>
                <c:pt idx="25">
                  <c:v>6.4165390579134387</c:v>
                </c:pt>
                <c:pt idx="26">
                  <c:v>6.6332006202299763</c:v>
                </c:pt>
                <c:pt idx="27">
                  <c:v>6.8498621825465138</c:v>
                </c:pt>
                <c:pt idx="28">
                  <c:v>7.0665237448630513</c:v>
                </c:pt>
                <c:pt idx="29">
                  <c:v>7.2831853071795889</c:v>
                </c:pt>
              </c:numCache>
            </c:numRef>
          </c:xVal>
          <c:yVal>
            <c:numRef>
              <c:f>Polynomials!$H$88:$H$117</c:f>
              <c:numCache>
                <c:formatCode>General</c:formatCode>
                <c:ptCount val="30"/>
                <c:pt idx="0">
                  <c:v>0.54030230586813977</c:v>
                </c:pt>
                <c:pt idx="1">
                  <c:v>0.34677895017942628</c:v>
                </c:pt>
                <c:pt idx="2">
                  <c:v>0.13704059619744383</c:v>
                </c:pt>
                <c:pt idx="3">
                  <c:v>-7.9105623753047929E-2</c:v>
                </c:pt>
                <c:pt idx="4">
                  <c:v>-0.29155295265643322</c:v>
                </c:pt>
                <c:pt idx="5">
                  <c:v>-0.49036758953143689</c:v>
                </c:pt>
                <c:pt idx="6">
                  <c:v>-0.66625318292438196</c:v>
                </c:pt>
                <c:pt idx="7">
                  <c:v>-0.81098551797101093</c:v>
                </c:pt>
                <c:pt idx="8">
                  <c:v>-0.9177970715429804</c:v>
                </c:pt>
                <c:pt idx="9">
                  <c:v>-0.98169345410778042</c:v>
                </c:pt>
                <c:pt idx="10">
                  <c:v>-0.99968694183240958</c:v>
                </c:pt>
                <c:pt idx="11">
                  <c:v>-0.9709361792291894</c:v>
                </c:pt>
                <c:pt idx="12">
                  <c:v>-0.89678552000326894</c:v>
                </c:pt>
                <c:pt idx="13">
                  <c:v>-0.78070216656751368</c:v>
                </c:pt>
                <c:pt idx="14">
                  <c:v>-0.62811404751119881</c:v>
                </c:pt>
                <c:pt idx="15">
                  <c:v>-0.4461560136918839</c:v>
                </c:pt>
                <c:pt idx="16">
                  <c:v>-0.24333622053913048</c:v>
                </c:pt>
                <c:pt idx="17">
                  <c:v>-2.9138296162751758E-2</c:v>
                </c:pt>
                <c:pt idx="18">
                  <c:v>0.18642210255730707</c:v>
                </c:pt>
                <c:pt idx="19">
                  <c:v>0.39326561095507173</c:v>
                </c:pt>
                <c:pt idx="20">
                  <c:v>0.58172045646791082</c:v>
                </c:pt>
                <c:pt idx="21">
                  <c:v>0.74297469997216081</c:v>
                </c:pt>
                <c:pt idx="22">
                  <c:v>0.86948827226278247</c:v>
                </c:pt>
                <c:pt idx="23">
                  <c:v>0.95534553930920274</c:v>
                </c:pt>
                <c:pt idx="24">
                  <c:v>0.99653191072782954</c:v>
                </c:pt>
                <c:pt idx="25">
                  <c:v>0.9911215575664919</c:v>
                </c:pt>
                <c:pt idx="26">
                  <c:v>0.93936746192583853</c:v>
                </c:pt>
                <c:pt idx="27">
                  <c:v>0.84368958779748016</c:v>
                </c:pt>
                <c:pt idx="28">
                  <c:v>0.7085617262373396</c:v>
                </c:pt>
                <c:pt idx="29">
                  <c:v>0.54030230586813766</c:v>
                </c:pt>
              </c:numCache>
            </c:numRef>
          </c:yVal>
          <c:smooth val="0"/>
          <c:extLst>
            <c:ext xmlns:c16="http://schemas.microsoft.com/office/drawing/2014/chart" uri="{C3380CC4-5D6E-409C-BE32-E72D297353CC}">
              <c16:uniqueId val="{00000002-8D1E-49DD-AB89-02664ACC445F}"/>
            </c:ext>
          </c:extLst>
        </c:ser>
        <c:dLbls>
          <c:showLegendKey val="0"/>
          <c:showVal val="0"/>
          <c:showCatName val="0"/>
          <c:showSerName val="0"/>
          <c:showPercent val="0"/>
          <c:showBubbleSize val="0"/>
        </c:dLbls>
        <c:axId val="1620767599"/>
        <c:axId val="1625613567"/>
      </c:scatterChart>
      <c:valAx>
        <c:axId val="162076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x</a:t>
                </a:r>
              </a:p>
            </c:rich>
          </c:tx>
          <c:layout>
            <c:manualLayout>
              <c:xMode val="edge"/>
              <c:yMode val="edge"/>
              <c:x val="0.50850160796074073"/>
              <c:y val="0.9194931526739889"/>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613567"/>
        <c:crosses val="autoZero"/>
        <c:crossBetween val="midCat"/>
      </c:valAx>
      <c:valAx>
        <c:axId val="1625613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a:t>y</a:t>
                </a:r>
              </a:p>
            </c:rich>
          </c:tx>
          <c:layout>
            <c:manualLayout>
              <c:xMode val="edge"/>
              <c:yMode val="edge"/>
              <c:x val="1.0937922552618298E-2"/>
              <c:y val="0.54190435815393723"/>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0767599"/>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Piecewise Polynomial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69961880909277"/>
          <c:y val="0.14130593277338269"/>
          <c:w val="0.84884893437074216"/>
          <c:h val="0.75479539985430766"/>
        </c:manualLayout>
      </c:layout>
      <c:scatterChart>
        <c:scatterStyle val="lineMarker"/>
        <c:varyColors val="0"/>
        <c:ser>
          <c:idx val="0"/>
          <c:order val="0"/>
          <c:spPr>
            <a:ln w="19050" cap="rnd">
              <a:solidFill>
                <a:schemeClr val="accent1"/>
              </a:solidFill>
              <a:round/>
            </a:ln>
            <a:effectLst/>
          </c:spPr>
          <c:marker>
            <c:symbol val="none"/>
          </c:marker>
          <c:xVal>
            <c:numRef>
              <c:f>Polynomials!$D$259:$CY$259</c:f>
              <c:numCache>
                <c:formatCode>General</c:formatCode>
                <c:ptCount val="100"/>
                <c:pt idx="0">
                  <c:v>0</c:v>
                </c:pt>
                <c:pt idx="1">
                  <c:v>0.15151515151515152</c:v>
                </c:pt>
                <c:pt idx="2">
                  <c:v>0.30303030303030304</c:v>
                </c:pt>
                <c:pt idx="3">
                  <c:v>0.45454545454545459</c:v>
                </c:pt>
                <c:pt idx="4">
                  <c:v>0.60606060606060608</c:v>
                </c:pt>
                <c:pt idx="5">
                  <c:v>0.75757575757575757</c:v>
                </c:pt>
                <c:pt idx="6">
                  <c:v>0.90909090909090906</c:v>
                </c:pt>
                <c:pt idx="7">
                  <c:v>1.0606060606060606</c:v>
                </c:pt>
                <c:pt idx="8">
                  <c:v>1.2121212121212122</c:v>
                </c:pt>
                <c:pt idx="9">
                  <c:v>1.3636363636363638</c:v>
                </c:pt>
                <c:pt idx="10">
                  <c:v>1.5151515151515154</c:v>
                </c:pt>
                <c:pt idx="11">
                  <c:v>1.666666666666667</c:v>
                </c:pt>
                <c:pt idx="12">
                  <c:v>1.8181818181818186</c:v>
                </c:pt>
                <c:pt idx="13">
                  <c:v>1.9696969696969702</c:v>
                </c:pt>
                <c:pt idx="14">
                  <c:v>2.1212121212121215</c:v>
                </c:pt>
                <c:pt idx="15">
                  <c:v>2.2727272727272729</c:v>
                </c:pt>
                <c:pt idx="16">
                  <c:v>2.4242424242424243</c:v>
                </c:pt>
                <c:pt idx="17">
                  <c:v>2.5757575757575757</c:v>
                </c:pt>
                <c:pt idx="18">
                  <c:v>2.7272727272727271</c:v>
                </c:pt>
                <c:pt idx="19">
                  <c:v>2.8787878787878785</c:v>
                </c:pt>
                <c:pt idx="20">
                  <c:v>3.0303030303030298</c:v>
                </c:pt>
                <c:pt idx="21">
                  <c:v>3.1818181818181812</c:v>
                </c:pt>
                <c:pt idx="22">
                  <c:v>3.3333333333333326</c:v>
                </c:pt>
                <c:pt idx="23">
                  <c:v>3.484848484848484</c:v>
                </c:pt>
                <c:pt idx="24">
                  <c:v>3.6363636363636354</c:v>
                </c:pt>
                <c:pt idx="25">
                  <c:v>3.7878787878787867</c:v>
                </c:pt>
                <c:pt idx="26">
                  <c:v>3.9393939393939381</c:v>
                </c:pt>
                <c:pt idx="27">
                  <c:v>4.0909090909090899</c:v>
                </c:pt>
                <c:pt idx="28">
                  <c:v>4.2424242424242413</c:v>
                </c:pt>
                <c:pt idx="29">
                  <c:v>4.3939393939393927</c:v>
                </c:pt>
                <c:pt idx="30">
                  <c:v>4.5454545454545441</c:v>
                </c:pt>
                <c:pt idx="31">
                  <c:v>4.6969696969696955</c:v>
                </c:pt>
                <c:pt idx="32">
                  <c:v>4.8484848484848468</c:v>
                </c:pt>
                <c:pt idx="33">
                  <c:v>4.9999999999999982</c:v>
                </c:pt>
                <c:pt idx="34">
                  <c:v>5.1515151515151496</c:v>
                </c:pt>
                <c:pt idx="35">
                  <c:v>5.303030303030301</c:v>
                </c:pt>
                <c:pt idx="36">
                  <c:v>5.4545454545454524</c:v>
                </c:pt>
                <c:pt idx="37">
                  <c:v>5.6060606060606037</c:v>
                </c:pt>
                <c:pt idx="38">
                  <c:v>5.7575757575757551</c:v>
                </c:pt>
                <c:pt idx="39">
                  <c:v>5.9090909090909065</c:v>
                </c:pt>
                <c:pt idx="40">
                  <c:v>6.0606060606060579</c:v>
                </c:pt>
                <c:pt idx="41">
                  <c:v>6.2121212121212093</c:v>
                </c:pt>
                <c:pt idx="42">
                  <c:v>6.3636363636363606</c:v>
                </c:pt>
                <c:pt idx="43">
                  <c:v>6.515151515151512</c:v>
                </c:pt>
                <c:pt idx="44">
                  <c:v>6.6666666666666634</c:v>
                </c:pt>
                <c:pt idx="45">
                  <c:v>6.8181818181818148</c:v>
                </c:pt>
                <c:pt idx="46">
                  <c:v>6.9696969696969662</c:v>
                </c:pt>
                <c:pt idx="47">
                  <c:v>7.1212121212121176</c:v>
                </c:pt>
                <c:pt idx="48">
                  <c:v>7.2727272727272689</c:v>
                </c:pt>
                <c:pt idx="49">
                  <c:v>7.4242424242424203</c:v>
                </c:pt>
                <c:pt idx="50">
                  <c:v>7.5757575757575717</c:v>
                </c:pt>
                <c:pt idx="51">
                  <c:v>7.7272727272727231</c:v>
                </c:pt>
                <c:pt idx="52">
                  <c:v>7.8787878787878745</c:v>
                </c:pt>
                <c:pt idx="53">
                  <c:v>8.0303030303030258</c:v>
                </c:pt>
                <c:pt idx="54">
                  <c:v>8.1818181818181781</c:v>
                </c:pt>
                <c:pt idx="55">
                  <c:v>8.3333333333333304</c:v>
                </c:pt>
                <c:pt idx="56">
                  <c:v>8.4848484848484826</c:v>
                </c:pt>
                <c:pt idx="57">
                  <c:v>8.6363636363636349</c:v>
                </c:pt>
                <c:pt idx="58">
                  <c:v>8.7878787878787872</c:v>
                </c:pt>
                <c:pt idx="59">
                  <c:v>8.9393939393939394</c:v>
                </c:pt>
                <c:pt idx="60">
                  <c:v>9.0909090909090917</c:v>
                </c:pt>
                <c:pt idx="61">
                  <c:v>9.242424242424244</c:v>
                </c:pt>
                <c:pt idx="62">
                  <c:v>9.3939393939393963</c:v>
                </c:pt>
                <c:pt idx="63">
                  <c:v>9.5454545454545485</c:v>
                </c:pt>
                <c:pt idx="64">
                  <c:v>9.6969696969697008</c:v>
                </c:pt>
                <c:pt idx="65">
                  <c:v>9.8484848484848531</c:v>
                </c:pt>
                <c:pt idx="66">
                  <c:v>10.000000000000005</c:v>
                </c:pt>
                <c:pt idx="67">
                  <c:v>10.151515151515158</c:v>
                </c:pt>
                <c:pt idx="68">
                  <c:v>10.30303030303031</c:v>
                </c:pt>
                <c:pt idx="69">
                  <c:v>10.454545454545462</c:v>
                </c:pt>
                <c:pt idx="70">
                  <c:v>10.606060606060614</c:v>
                </c:pt>
                <c:pt idx="71">
                  <c:v>10.757575757575767</c:v>
                </c:pt>
                <c:pt idx="72">
                  <c:v>10.909090909090919</c:v>
                </c:pt>
                <c:pt idx="73">
                  <c:v>11.060606060606071</c:v>
                </c:pt>
                <c:pt idx="74">
                  <c:v>11.212121212121223</c:v>
                </c:pt>
                <c:pt idx="75">
                  <c:v>11.363636363636376</c:v>
                </c:pt>
                <c:pt idx="76">
                  <c:v>11.515151515151528</c:v>
                </c:pt>
                <c:pt idx="77">
                  <c:v>11.66666666666668</c:v>
                </c:pt>
                <c:pt idx="78">
                  <c:v>11.818181818181833</c:v>
                </c:pt>
                <c:pt idx="79">
                  <c:v>11.969696969696985</c:v>
                </c:pt>
                <c:pt idx="80">
                  <c:v>12.121212121212137</c:v>
                </c:pt>
                <c:pt idx="81">
                  <c:v>12.272727272727289</c:v>
                </c:pt>
                <c:pt idx="82">
                  <c:v>12.424242424242442</c:v>
                </c:pt>
                <c:pt idx="83">
                  <c:v>12.575757575757594</c:v>
                </c:pt>
                <c:pt idx="84">
                  <c:v>12.727272727272746</c:v>
                </c:pt>
                <c:pt idx="85">
                  <c:v>12.878787878787898</c:v>
                </c:pt>
                <c:pt idx="86">
                  <c:v>13.030303030303051</c:v>
                </c:pt>
                <c:pt idx="87">
                  <c:v>13.181818181818203</c:v>
                </c:pt>
                <c:pt idx="88">
                  <c:v>13.333333333333355</c:v>
                </c:pt>
                <c:pt idx="89">
                  <c:v>13.484848484848508</c:v>
                </c:pt>
                <c:pt idx="90">
                  <c:v>13.63636363636366</c:v>
                </c:pt>
                <c:pt idx="91">
                  <c:v>13.787878787878812</c:v>
                </c:pt>
                <c:pt idx="92">
                  <c:v>13.939393939393964</c:v>
                </c:pt>
                <c:pt idx="93">
                  <c:v>14.090909090909117</c:v>
                </c:pt>
                <c:pt idx="94">
                  <c:v>14.242424242424269</c:v>
                </c:pt>
                <c:pt idx="95">
                  <c:v>14.393939393939421</c:v>
                </c:pt>
                <c:pt idx="96">
                  <c:v>14.545454545454573</c:v>
                </c:pt>
                <c:pt idx="97">
                  <c:v>14.696969696969726</c:v>
                </c:pt>
                <c:pt idx="98">
                  <c:v>14.848484848484878</c:v>
                </c:pt>
                <c:pt idx="99">
                  <c:v>15.00000000000003</c:v>
                </c:pt>
              </c:numCache>
            </c:numRef>
          </c:xVal>
          <c:yVal>
            <c:numRef>
              <c:f>Polynomials!$D$260:$CY$260</c:f>
              <c:numCache>
                <c:formatCode>General</c:formatCode>
                <c:ptCount val="100"/>
                <c:pt idx="0">
                  <c:v>10</c:v>
                </c:pt>
                <c:pt idx="1">
                  <c:v>10.135514928903358</c:v>
                </c:pt>
                <c:pt idx="2">
                  <c:v>10.266855886690598</c:v>
                </c:pt>
                <c:pt idx="3">
                  <c:v>10.435762584522916</c:v>
                </c:pt>
                <c:pt idx="4">
                  <c:v>10.683974733561511</c:v>
                </c:pt>
                <c:pt idx="5">
                  <c:v>11.053232044967583</c:v>
                </c:pt>
                <c:pt idx="6">
                  <c:v>11.585274229902328</c:v>
                </c:pt>
                <c:pt idx="7">
                  <c:v>12.32184099952695</c:v>
                </c:pt>
                <c:pt idx="8">
                  <c:v>13.304672065002643</c:v>
                </c:pt>
                <c:pt idx="9">
                  <c:v>14.575507137490611</c:v>
                </c:pt>
                <c:pt idx="10">
                  <c:v>16.176085928152048</c:v>
                </c:pt>
                <c:pt idx="11">
                  <c:v>18.148148148148152</c:v>
                </c:pt>
                <c:pt idx="12">
                  <c:v>20.533433508640126</c:v>
                </c:pt>
                <c:pt idx="13">
                  <c:v>23.373681720789168</c:v>
                </c:pt>
                <c:pt idx="14">
                  <c:v>26.710632495756471</c:v>
                </c:pt>
                <c:pt idx="15">
                  <c:v>30.586025544703237</c:v>
                </c:pt>
                <c:pt idx="16">
                  <c:v>35.041600578790664</c:v>
                </c:pt>
                <c:pt idx="17">
                  <c:v>40.119097309179949</c:v>
                </c:pt>
                <c:pt idx="18">
                  <c:v>45.860255447032294</c:v>
                </c:pt>
                <c:pt idx="19">
                  <c:v>52.306814703508898</c:v>
                </c:pt>
                <c:pt idx="20">
                  <c:v>59.500514789770968</c:v>
                </c:pt>
                <c:pt idx="21">
                  <c:v>67.483095416979694</c:v>
                </c:pt>
                <c:pt idx="22">
                  <c:v>76.296296296296248</c:v>
                </c:pt>
                <c:pt idx="23">
                  <c:v>85.981857138881864</c:v>
                </c:pt>
                <c:pt idx="24">
                  <c:v>96.581517655897756</c:v>
                </c:pt>
                <c:pt idx="25">
                  <c:v>108.13701755850506</c:v>
                </c:pt>
                <c:pt idx="26">
                  <c:v>120.69009655786505</c:v>
                </c:pt>
                <c:pt idx="27">
                  <c:v>125.95867768595042</c:v>
                </c:pt>
                <c:pt idx="28">
                  <c:v>125.70615243342516</c:v>
                </c:pt>
                <c:pt idx="29">
                  <c:v>125.22405876951332</c:v>
                </c:pt>
                <c:pt idx="30">
                  <c:v>124.51239669421489</c:v>
                </c:pt>
                <c:pt idx="31">
                  <c:v>123.57116620752986</c:v>
                </c:pt>
                <c:pt idx="32">
                  <c:v>122.40036730945823</c:v>
                </c:pt>
                <c:pt idx="33">
                  <c:v>121.00000000000001</c:v>
                </c:pt>
                <c:pt idx="34">
                  <c:v>119.37006427915522</c:v>
                </c:pt>
                <c:pt idx="35">
                  <c:v>117.51056014692381</c:v>
                </c:pt>
                <c:pt idx="36">
                  <c:v>115.42148760330582</c:v>
                </c:pt>
                <c:pt idx="37">
                  <c:v>113.10284664830124</c:v>
                </c:pt>
                <c:pt idx="38">
                  <c:v>110.55463728191005</c:v>
                </c:pt>
                <c:pt idx="39">
                  <c:v>107.77685950413228</c:v>
                </c:pt>
                <c:pt idx="40">
                  <c:v>104.76951331496792</c:v>
                </c:pt>
                <c:pt idx="41">
                  <c:v>101.53259871441696</c:v>
                </c:pt>
                <c:pt idx="42">
                  <c:v>98.066115702479408</c:v>
                </c:pt>
                <c:pt idx="43">
                  <c:v>94.370064279155258</c:v>
                </c:pt>
                <c:pt idx="44">
                  <c:v>90.444444444444528</c:v>
                </c:pt>
                <c:pt idx="45">
                  <c:v>86.289256198347204</c:v>
                </c:pt>
                <c:pt idx="46">
                  <c:v>81.904499540863284</c:v>
                </c:pt>
                <c:pt idx="47">
                  <c:v>77.290174471992771</c:v>
                </c:pt>
                <c:pt idx="48">
                  <c:v>72.446280991735662</c:v>
                </c:pt>
                <c:pt idx="49">
                  <c:v>67.372819100091959</c:v>
                </c:pt>
                <c:pt idx="50">
                  <c:v>62.069788797061676</c:v>
                </c:pt>
                <c:pt idx="51">
                  <c:v>56.537190082644784</c:v>
                </c:pt>
                <c:pt idx="52">
                  <c:v>50.775022956841312</c:v>
                </c:pt>
                <c:pt idx="53">
                  <c:v>44.783287419651231</c:v>
                </c:pt>
                <c:pt idx="54">
                  <c:v>38.561983471074541</c:v>
                </c:pt>
                <c:pt idx="55">
                  <c:v>32.111111111111228</c:v>
                </c:pt>
                <c:pt idx="56">
                  <c:v>25.430670339761349</c:v>
                </c:pt>
                <c:pt idx="57">
                  <c:v>18.520661157024875</c:v>
                </c:pt>
                <c:pt idx="58">
                  <c:v>11.381083562901779</c:v>
                </c:pt>
                <c:pt idx="59">
                  <c:v>4.0119375573920877</c:v>
                </c:pt>
                <c:pt idx="60">
                  <c:v>-3.5867768595041696</c:v>
                </c:pt>
                <c:pt idx="61">
                  <c:v>-11.41505968778705</c:v>
                </c:pt>
                <c:pt idx="62">
                  <c:v>-19.472910927456496</c:v>
                </c:pt>
                <c:pt idx="63">
                  <c:v>-27.760330578512566</c:v>
                </c:pt>
                <c:pt idx="64">
                  <c:v>-36.277318640955201</c:v>
                </c:pt>
                <c:pt idx="65">
                  <c:v>-45.02387511478446</c:v>
                </c:pt>
                <c:pt idx="66">
                  <c:v>-53.999999999999979</c:v>
                </c:pt>
                <c:pt idx="67">
                  <c:v>-53.354118023038609</c:v>
                </c:pt>
                <c:pt idx="68">
                  <c:v>-52.565351317667833</c:v>
                </c:pt>
                <c:pt idx="69">
                  <c:v>-51.548323201967023</c:v>
                </c:pt>
                <c:pt idx="70">
                  <c:v>-50.230305391337112</c:v>
                </c:pt>
                <c:pt idx="71">
                  <c:v>-48.551217998500633</c:v>
                </c:pt>
                <c:pt idx="72">
                  <c:v>-46.46362953350166</c:v>
                </c:pt>
                <c:pt idx="73">
                  <c:v>-43.932756903705872</c:v>
                </c:pt>
                <c:pt idx="74">
                  <c:v>-40.936465413800505</c:v>
                </c:pt>
                <c:pt idx="75">
                  <c:v>-37.465268765794391</c:v>
                </c:pt>
                <c:pt idx="76">
                  <c:v>-33.522329059017913</c:v>
                </c:pt>
                <c:pt idx="77">
                  <c:v>-29.123456790123043</c:v>
                </c:pt>
                <c:pt idx="78">
                  <c:v>-24.297110853083328</c:v>
                </c:pt>
                <c:pt idx="79">
                  <c:v>-19.084398539193899</c:v>
                </c:pt>
                <c:pt idx="80">
                  <c:v>-13.539075537071426</c:v>
                </c:pt>
                <c:pt idx="81">
                  <c:v>-7.7275459326542304</c:v>
                </c:pt>
                <c:pt idx="82">
                  <c:v>-1.72886220920212</c:v>
                </c:pt>
                <c:pt idx="83">
                  <c:v>4.3652747527034848</c:v>
                </c:pt>
                <c:pt idx="84">
                  <c:v>10.450515675159551</c:v>
                </c:pt>
                <c:pt idx="85">
                  <c:v>16.409862882941525</c:v>
                </c:pt>
                <c:pt idx="86">
                  <c:v>22.113670303503227</c:v>
                </c:pt>
                <c:pt idx="87">
                  <c:v>27.419643466977021</c:v>
                </c:pt>
                <c:pt idx="88">
                  <c:v>32.17283950617346</c:v>
                </c:pt>
                <c:pt idx="89">
                  <c:v>36.205667156581796</c:v>
                </c:pt>
                <c:pt idx="90">
                  <c:v>39.3378867563695</c:v>
                </c:pt>
                <c:pt idx="91">
                  <c:v>41.376610246382597</c:v>
                </c:pt>
                <c:pt idx="92">
                  <c:v>42.116301170145391</c:v>
                </c:pt>
                <c:pt idx="93">
                  <c:v>41.338774673860712</c:v>
                </c:pt>
                <c:pt idx="94">
                  <c:v>38.813197506409949</c:v>
                </c:pt>
                <c:pt idx="95">
                  <c:v>34.296088019352709</c:v>
                </c:pt>
                <c:pt idx="96">
                  <c:v>27.53131616692707</c:v>
                </c:pt>
                <c:pt idx="97">
                  <c:v>18.250103506049385</c:v>
                </c:pt>
                <c:pt idx="98">
                  <c:v>6.1710231963149127</c:v>
                </c:pt>
                <c:pt idx="99">
                  <c:v>-9.000000000003439</c:v>
                </c:pt>
              </c:numCache>
            </c:numRef>
          </c:yVal>
          <c:smooth val="1"/>
          <c:extLst>
            <c:ext xmlns:c16="http://schemas.microsoft.com/office/drawing/2014/chart" uri="{C3380CC4-5D6E-409C-BE32-E72D297353CC}">
              <c16:uniqueId val="{00000000-D9E9-458C-BAAF-69D0FF0F1190}"/>
            </c:ext>
          </c:extLst>
        </c:ser>
        <c:dLbls>
          <c:showLegendKey val="0"/>
          <c:showVal val="0"/>
          <c:showCatName val="0"/>
          <c:showSerName val="0"/>
          <c:showPercent val="0"/>
          <c:showBubbleSize val="0"/>
        </c:dLbls>
        <c:axId val="1620767599"/>
        <c:axId val="1625613567"/>
      </c:scatterChart>
      <c:valAx>
        <c:axId val="162076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x</a:t>
                </a:r>
              </a:p>
            </c:rich>
          </c:tx>
          <c:layout>
            <c:manualLayout>
              <c:xMode val="edge"/>
              <c:yMode val="edge"/>
              <c:x val="0.49420824082032699"/>
              <c:y val="0.9356724948726787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25613567"/>
        <c:crosses val="autoZero"/>
        <c:crossBetween val="midCat"/>
      </c:valAx>
      <c:valAx>
        <c:axId val="1625613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a:t>
                </a:r>
              </a:p>
            </c:rich>
          </c:tx>
          <c:layout>
            <c:manualLayout>
              <c:xMode val="edge"/>
              <c:yMode val="edge"/>
              <c:x val="6.5627535315709784E-3"/>
              <c:y val="0.487806937056050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207675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29221347331585E-2"/>
          <c:y val="0.12155290208378623"/>
          <c:w val="0.9416526684164479"/>
          <c:h val="0.84029646171349848"/>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5214851268591426"/>
                  <c:y val="-0.74560658105656252"/>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rendlineLbl>
          </c:trendline>
          <c:xVal>
            <c:numRef>
              <c:f>Polynomials!$D$452:$H$452</c:f>
              <c:numCache>
                <c:formatCode>General</c:formatCode>
                <c:ptCount val="5"/>
                <c:pt idx="0">
                  <c:v>-7.75</c:v>
                </c:pt>
                <c:pt idx="1">
                  <c:v>-5</c:v>
                </c:pt>
                <c:pt idx="2">
                  <c:v>-2.25</c:v>
                </c:pt>
                <c:pt idx="3">
                  <c:v>0.5</c:v>
                </c:pt>
                <c:pt idx="4">
                  <c:v>3.25</c:v>
                </c:pt>
              </c:numCache>
            </c:numRef>
          </c:xVal>
          <c:yVal>
            <c:numRef>
              <c:f>Polynomials!$D$453:$H$453</c:f>
              <c:numCache>
                <c:formatCode>General</c:formatCode>
                <c:ptCount val="5"/>
                <c:pt idx="0">
                  <c:v>45.375</c:v>
                </c:pt>
                <c:pt idx="1">
                  <c:v>0</c:v>
                </c:pt>
                <c:pt idx="2">
                  <c:v>-15.125</c:v>
                </c:pt>
                <c:pt idx="3">
                  <c:v>0</c:v>
                </c:pt>
                <c:pt idx="4">
                  <c:v>45.375</c:v>
                </c:pt>
              </c:numCache>
            </c:numRef>
          </c:yVal>
          <c:smooth val="1"/>
          <c:extLst>
            <c:ext xmlns:c16="http://schemas.microsoft.com/office/drawing/2014/chart" uri="{C3380CC4-5D6E-409C-BE32-E72D297353CC}">
              <c16:uniqueId val="{00000000-0610-4522-9443-ECCE8D2888C5}"/>
            </c:ext>
          </c:extLst>
        </c:ser>
        <c:dLbls>
          <c:showLegendKey val="0"/>
          <c:showVal val="0"/>
          <c:showCatName val="0"/>
          <c:showSerName val="0"/>
          <c:showPercent val="0"/>
          <c:showBubbleSize val="0"/>
        </c:dLbls>
        <c:axId val="1133548447"/>
        <c:axId val="1133552287"/>
      </c:scatterChart>
      <c:valAx>
        <c:axId val="11335484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552287"/>
        <c:crosses val="autoZero"/>
        <c:crossBetween val="midCat"/>
      </c:valAx>
      <c:valAx>
        <c:axId val="113355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5484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In the Complex (i-y) Plane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951443569553806E-2"/>
          <c:y val="0.14396186171519235"/>
          <c:w val="0.84165266841644792"/>
          <c:h val="0.70584270392506154"/>
        </c:manualLayout>
      </c:layout>
      <c:scatterChart>
        <c:scatterStyle val="lineMarker"/>
        <c:varyColors val="0"/>
        <c:ser>
          <c:idx val="0"/>
          <c:order val="0"/>
          <c:spPr>
            <a:ln w="25400" cap="rnd">
              <a:noFill/>
              <a:round/>
            </a:ln>
            <a:effectLst/>
          </c:spPr>
          <c:marker>
            <c:symbol val="circle"/>
            <c:size val="6"/>
            <c:spPr>
              <a:solidFill>
                <a:schemeClr val="accent4"/>
              </a:solidFill>
              <a:ln w="9525">
                <a:noFill/>
              </a:ln>
              <a:effectLst/>
            </c:spPr>
          </c:marker>
          <c:trendline>
            <c:spPr>
              <a:ln w="19050" cap="rnd">
                <a:solidFill>
                  <a:schemeClr val="accent4"/>
                </a:solidFill>
                <a:prstDash val="sysDot"/>
              </a:ln>
              <a:effectLst/>
            </c:spPr>
            <c:trendlineType val="poly"/>
            <c:order val="2"/>
            <c:dispRSqr val="0"/>
            <c:dispEq val="0"/>
          </c:trendline>
          <c:xVal>
            <c:numRef>
              <c:f>Polynomials!$D$456:$H$456</c:f>
              <c:numCache>
                <c:formatCode>General</c:formatCode>
                <c:ptCount val="5"/>
                <c:pt idx="0">
                  <c:v>-2.75</c:v>
                </c:pt>
                <c:pt idx="1">
                  <c:v>-1.375</c:v>
                </c:pt>
                <c:pt idx="2">
                  <c:v>0</c:v>
                </c:pt>
                <c:pt idx="3">
                  <c:v>1.375</c:v>
                </c:pt>
                <c:pt idx="4">
                  <c:v>2.75</c:v>
                </c:pt>
              </c:numCache>
            </c:numRef>
          </c:xVal>
          <c:yVal>
            <c:numRef>
              <c:f>Polynomials!$D$457:$H$457</c:f>
              <c:numCache>
                <c:formatCode>General</c:formatCode>
                <c:ptCount val="5"/>
                <c:pt idx="0">
                  <c:v>0</c:v>
                </c:pt>
              </c:numCache>
            </c:numRef>
          </c:yVal>
          <c:smooth val="1"/>
          <c:extLst>
            <c:ext xmlns:c16="http://schemas.microsoft.com/office/drawing/2014/chart" uri="{C3380CC4-5D6E-409C-BE32-E72D297353CC}">
              <c16:uniqueId val="{00000001-327F-43E5-8D14-7037E709459C}"/>
            </c:ext>
          </c:extLst>
        </c:ser>
        <c:dLbls>
          <c:showLegendKey val="0"/>
          <c:showVal val="0"/>
          <c:showCatName val="0"/>
          <c:showSerName val="0"/>
          <c:showPercent val="0"/>
          <c:showBubbleSize val="0"/>
        </c:dLbls>
        <c:axId val="1133548447"/>
        <c:axId val="1133552287"/>
      </c:scatterChart>
      <c:valAx>
        <c:axId val="11335484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rgbClr val="FF0000"/>
                    </a:solidFill>
                    <a:latin typeface="+mn-lt"/>
                    <a:ea typeface="+mn-ea"/>
                    <a:cs typeface="+mn-cs"/>
                  </a:defRPr>
                </a:pPr>
                <a:r>
                  <a:rPr lang="en-US">
                    <a:solidFill>
                      <a:srgbClr val="FF0000"/>
                    </a:solidFill>
                  </a:rPr>
                  <a:t>-i ◄   ► +i</a:t>
                </a:r>
              </a:p>
            </c:rich>
          </c:tx>
          <c:layout>
            <c:manualLayout>
              <c:xMode val="edge"/>
              <c:yMode val="edge"/>
              <c:x val="0.42699999999999994"/>
              <c:y val="0.9080678606819099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FF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552287"/>
        <c:crosses val="autoZero"/>
        <c:crossBetween val="midCat"/>
      </c:valAx>
      <c:valAx>
        <c:axId val="113355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5484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Control Points with 'Smoothed Line'</c:v>
          </c:tx>
          <c:spPr>
            <a:ln w="19050" cap="rnd">
              <a:solidFill>
                <a:schemeClr val="accent1"/>
              </a:solidFill>
              <a:round/>
            </a:ln>
            <a:effectLst/>
          </c:spPr>
          <c:marker>
            <c:symbol val="circle"/>
            <c:size val="9"/>
            <c:spPr>
              <a:noFill/>
              <a:ln w="25400">
                <a:solidFill>
                  <a:schemeClr val="accent1"/>
                </a:solidFill>
              </a:ln>
              <a:effectLst/>
            </c:spPr>
          </c:marker>
          <c:xVal>
            <c:numRef>
              <c:f>Polynomials!$C$272:$C$282</c:f>
              <c:numCache>
                <c:formatCode>General</c:formatCode>
                <c:ptCount val="11"/>
                <c:pt idx="0">
                  <c:v>2</c:v>
                </c:pt>
                <c:pt idx="1">
                  <c:v>3</c:v>
                </c:pt>
                <c:pt idx="2">
                  <c:v>4</c:v>
                </c:pt>
                <c:pt idx="3">
                  <c:v>5</c:v>
                </c:pt>
                <c:pt idx="4">
                  <c:v>6</c:v>
                </c:pt>
                <c:pt idx="5">
                  <c:v>7</c:v>
                </c:pt>
                <c:pt idx="6">
                  <c:v>8</c:v>
                </c:pt>
                <c:pt idx="7">
                  <c:v>9</c:v>
                </c:pt>
                <c:pt idx="8">
                  <c:v>10</c:v>
                </c:pt>
                <c:pt idx="9">
                  <c:v>11</c:v>
                </c:pt>
                <c:pt idx="10">
                  <c:v>12</c:v>
                </c:pt>
              </c:numCache>
            </c:numRef>
          </c:xVal>
          <c:yVal>
            <c:numRef>
              <c:f>Polynomials!$D$272:$D$282</c:f>
              <c:numCache>
                <c:formatCode>General</c:formatCode>
                <c:ptCount val="11"/>
                <c:pt idx="0">
                  <c:v>4</c:v>
                </c:pt>
                <c:pt idx="1">
                  <c:v>4</c:v>
                </c:pt>
                <c:pt idx="2">
                  <c:v>2</c:v>
                </c:pt>
                <c:pt idx="3">
                  <c:v>3</c:v>
                </c:pt>
                <c:pt idx="4">
                  <c:v>1</c:v>
                </c:pt>
                <c:pt idx="5">
                  <c:v>1.5</c:v>
                </c:pt>
                <c:pt idx="6">
                  <c:v>5</c:v>
                </c:pt>
                <c:pt idx="7">
                  <c:v>2</c:v>
                </c:pt>
                <c:pt idx="8">
                  <c:v>2</c:v>
                </c:pt>
                <c:pt idx="9">
                  <c:v>4.5</c:v>
                </c:pt>
                <c:pt idx="10">
                  <c:v>4</c:v>
                </c:pt>
              </c:numCache>
            </c:numRef>
          </c:yVal>
          <c:smooth val="1"/>
          <c:extLst>
            <c:ext xmlns:c16="http://schemas.microsoft.com/office/drawing/2014/chart" uri="{C3380CC4-5D6E-409C-BE32-E72D297353CC}">
              <c16:uniqueId val="{00000000-410E-491D-87C3-3FFCDEAF449D}"/>
            </c:ext>
          </c:extLst>
        </c:ser>
        <c:ser>
          <c:idx val="1"/>
          <c:order val="1"/>
          <c:tx>
            <c:v>CSPLINE function</c:v>
          </c:tx>
          <c:spPr>
            <a:ln w="19050" cap="rnd">
              <a:noFill/>
              <a:round/>
            </a:ln>
            <a:effectLst/>
          </c:spPr>
          <c:marker>
            <c:symbol val="x"/>
            <c:size val="5"/>
            <c:spPr>
              <a:noFill/>
              <a:ln w="9525">
                <a:solidFill>
                  <a:schemeClr val="accent2"/>
                </a:solidFill>
              </a:ln>
              <a:effectLst/>
            </c:spPr>
          </c:marker>
          <c:xVal>
            <c:numRef>
              <c:f>Polynomials!$D$285:$CZ$285</c:f>
              <c:numCache>
                <c:formatCode>General</c:formatCode>
                <c:ptCount val="101"/>
                <c:pt idx="0">
                  <c:v>2</c:v>
                </c:pt>
                <c:pt idx="1">
                  <c:v>2.1</c:v>
                </c:pt>
                <c:pt idx="2">
                  <c:v>2.2000000000000002</c:v>
                </c:pt>
                <c:pt idx="3">
                  <c:v>2.3000000000000003</c:v>
                </c:pt>
                <c:pt idx="4">
                  <c:v>2.4000000000000004</c:v>
                </c:pt>
                <c:pt idx="5">
                  <c:v>2.5000000000000004</c:v>
                </c:pt>
                <c:pt idx="6">
                  <c:v>2.6000000000000005</c:v>
                </c:pt>
                <c:pt idx="7">
                  <c:v>2.7000000000000006</c:v>
                </c:pt>
                <c:pt idx="8">
                  <c:v>2.8000000000000007</c:v>
                </c:pt>
                <c:pt idx="9">
                  <c:v>2.9000000000000008</c:v>
                </c:pt>
                <c:pt idx="10">
                  <c:v>3.0000000000000009</c:v>
                </c:pt>
                <c:pt idx="11">
                  <c:v>3.100000000000001</c:v>
                </c:pt>
                <c:pt idx="12">
                  <c:v>3.2000000000000011</c:v>
                </c:pt>
                <c:pt idx="13">
                  <c:v>3.3000000000000012</c:v>
                </c:pt>
                <c:pt idx="14">
                  <c:v>3.4000000000000012</c:v>
                </c:pt>
                <c:pt idx="15">
                  <c:v>3.5000000000000013</c:v>
                </c:pt>
                <c:pt idx="16">
                  <c:v>3.6000000000000014</c:v>
                </c:pt>
                <c:pt idx="17">
                  <c:v>3.7000000000000015</c:v>
                </c:pt>
                <c:pt idx="18">
                  <c:v>3.8000000000000016</c:v>
                </c:pt>
                <c:pt idx="19">
                  <c:v>3.9000000000000017</c:v>
                </c:pt>
                <c:pt idx="20">
                  <c:v>4.0000000000000018</c:v>
                </c:pt>
                <c:pt idx="21">
                  <c:v>4.1000000000000014</c:v>
                </c:pt>
                <c:pt idx="22">
                  <c:v>4.2000000000000011</c:v>
                </c:pt>
                <c:pt idx="23">
                  <c:v>4.3000000000000007</c:v>
                </c:pt>
                <c:pt idx="24">
                  <c:v>4.4000000000000004</c:v>
                </c:pt>
                <c:pt idx="25">
                  <c:v>4.5</c:v>
                </c:pt>
                <c:pt idx="26">
                  <c:v>4.5999999999999996</c:v>
                </c:pt>
                <c:pt idx="27">
                  <c:v>4.6999999999999993</c:v>
                </c:pt>
                <c:pt idx="28">
                  <c:v>4.7999999999999989</c:v>
                </c:pt>
                <c:pt idx="29">
                  <c:v>4.8999999999999986</c:v>
                </c:pt>
                <c:pt idx="30">
                  <c:v>4.9999999999999982</c:v>
                </c:pt>
                <c:pt idx="31">
                  <c:v>5.0999999999999979</c:v>
                </c:pt>
                <c:pt idx="32">
                  <c:v>5.1999999999999975</c:v>
                </c:pt>
                <c:pt idx="33">
                  <c:v>5.2999999999999972</c:v>
                </c:pt>
                <c:pt idx="34">
                  <c:v>5.3999999999999968</c:v>
                </c:pt>
                <c:pt idx="35">
                  <c:v>5.4999999999999964</c:v>
                </c:pt>
                <c:pt idx="36">
                  <c:v>5.5999999999999961</c:v>
                </c:pt>
                <c:pt idx="37">
                  <c:v>5.6999999999999957</c:v>
                </c:pt>
                <c:pt idx="38">
                  <c:v>5.7999999999999954</c:v>
                </c:pt>
                <c:pt idx="39">
                  <c:v>5.899999999999995</c:v>
                </c:pt>
                <c:pt idx="40">
                  <c:v>5.9999999999999947</c:v>
                </c:pt>
                <c:pt idx="41">
                  <c:v>6.0999999999999943</c:v>
                </c:pt>
                <c:pt idx="42">
                  <c:v>6.199999999999994</c:v>
                </c:pt>
                <c:pt idx="43">
                  <c:v>6.2999999999999936</c:v>
                </c:pt>
                <c:pt idx="44">
                  <c:v>6.3999999999999932</c:v>
                </c:pt>
                <c:pt idx="45">
                  <c:v>6.4999999999999929</c:v>
                </c:pt>
                <c:pt idx="46">
                  <c:v>6.5999999999999925</c:v>
                </c:pt>
                <c:pt idx="47">
                  <c:v>6.6999999999999922</c:v>
                </c:pt>
                <c:pt idx="48">
                  <c:v>6.7999999999999918</c:v>
                </c:pt>
                <c:pt idx="49">
                  <c:v>6.8999999999999915</c:v>
                </c:pt>
                <c:pt idx="50">
                  <c:v>6.9999999999999911</c:v>
                </c:pt>
                <c:pt idx="51">
                  <c:v>7.0999999999999908</c:v>
                </c:pt>
                <c:pt idx="52">
                  <c:v>7.1999999999999904</c:v>
                </c:pt>
                <c:pt idx="53">
                  <c:v>7.2999999999999901</c:v>
                </c:pt>
                <c:pt idx="54">
                  <c:v>7.3999999999999897</c:v>
                </c:pt>
                <c:pt idx="55">
                  <c:v>7.4999999999999893</c:v>
                </c:pt>
                <c:pt idx="56">
                  <c:v>7.599999999999989</c:v>
                </c:pt>
                <c:pt idx="57">
                  <c:v>7.6999999999999886</c:v>
                </c:pt>
                <c:pt idx="58">
                  <c:v>7.7999999999999883</c:v>
                </c:pt>
                <c:pt idx="59">
                  <c:v>7.8999999999999879</c:v>
                </c:pt>
                <c:pt idx="60">
                  <c:v>7.9999999999999876</c:v>
                </c:pt>
                <c:pt idx="61">
                  <c:v>8.0999999999999872</c:v>
                </c:pt>
                <c:pt idx="62">
                  <c:v>8.1999999999999869</c:v>
                </c:pt>
                <c:pt idx="63">
                  <c:v>8.2999999999999865</c:v>
                </c:pt>
                <c:pt idx="64">
                  <c:v>8.3999999999999861</c:v>
                </c:pt>
                <c:pt idx="65">
                  <c:v>8.4999999999999858</c:v>
                </c:pt>
                <c:pt idx="66">
                  <c:v>8.5999999999999854</c:v>
                </c:pt>
                <c:pt idx="67">
                  <c:v>8.6999999999999851</c:v>
                </c:pt>
                <c:pt idx="68">
                  <c:v>8.7999999999999847</c:v>
                </c:pt>
                <c:pt idx="69">
                  <c:v>8.8999999999999844</c:v>
                </c:pt>
                <c:pt idx="70">
                  <c:v>8.999999999999984</c:v>
                </c:pt>
                <c:pt idx="71">
                  <c:v>9.0999999999999837</c:v>
                </c:pt>
                <c:pt idx="72">
                  <c:v>9.1999999999999833</c:v>
                </c:pt>
                <c:pt idx="73">
                  <c:v>9.2999999999999829</c:v>
                </c:pt>
                <c:pt idx="74">
                  <c:v>9.3999999999999826</c:v>
                </c:pt>
                <c:pt idx="75">
                  <c:v>9.4999999999999822</c:v>
                </c:pt>
                <c:pt idx="76">
                  <c:v>9.5999999999999819</c:v>
                </c:pt>
                <c:pt idx="77">
                  <c:v>9.6999999999999815</c:v>
                </c:pt>
                <c:pt idx="78">
                  <c:v>9.7999999999999812</c:v>
                </c:pt>
                <c:pt idx="79">
                  <c:v>9.8999999999999808</c:v>
                </c:pt>
                <c:pt idx="80">
                  <c:v>9.9999999999999805</c:v>
                </c:pt>
                <c:pt idx="81">
                  <c:v>10.09999999999998</c:v>
                </c:pt>
                <c:pt idx="82">
                  <c:v>10.19999999999998</c:v>
                </c:pt>
                <c:pt idx="83">
                  <c:v>10.299999999999979</c:v>
                </c:pt>
                <c:pt idx="84">
                  <c:v>10.399999999999979</c:v>
                </c:pt>
                <c:pt idx="85">
                  <c:v>10.499999999999979</c:v>
                </c:pt>
                <c:pt idx="86">
                  <c:v>10.599999999999978</c:v>
                </c:pt>
                <c:pt idx="87">
                  <c:v>10.699999999999978</c:v>
                </c:pt>
                <c:pt idx="88">
                  <c:v>10.799999999999978</c:v>
                </c:pt>
                <c:pt idx="89">
                  <c:v>10.899999999999977</c:v>
                </c:pt>
                <c:pt idx="90">
                  <c:v>10.999999999999977</c:v>
                </c:pt>
                <c:pt idx="91">
                  <c:v>11.099999999999977</c:v>
                </c:pt>
                <c:pt idx="92">
                  <c:v>11.199999999999976</c:v>
                </c:pt>
                <c:pt idx="93">
                  <c:v>11.299999999999976</c:v>
                </c:pt>
                <c:pt idx="94">
                  <c:v>11.399999999999975</c:v>
                </c:pt>
                <c:pt idx="95">
                  <c:v>11.499999999999975</c:v>
                </c:pt>
                <c:pt idx="96">
                  <c:v>11.599999999999975</c:v>
                </c:pt>
                <c:pt idx="97">
                  <c:v>11.699999999999974</c:v>
                </c:pt>
                <c:pt idx="98">
                  <c:v>11.799999999999974</c:v>
                </c:pt>
                <c:pt idx="99">
                  <c:v>11.899999999999974</c:v>
                </c:pt>
                <c:pt idx="100">
                  <c:v>11.999999999999973</c:v>
                </c:pt>
              </c:numCache>
            </c:numRef>
          </c:xVal>
          <c:yVal>
            <c:numRef>
              <c:f>Polynomials!$D$286:$CZ$286</c:f>
              <c:numCache>
                <c:formatCode>General</c:formatCode>
                <c:ptCount val="101"/>
                <c:pt idx="0">
                  <c:v>4</c:v>
                </c:pt>
                <c:pt idx="1">
                  <c:v>4.0090000000000003</c:v>
                </c:pt>
                <c:pt idx="2">
                  <c:v>4.032</c:v>
                </c:pt>
                <c:pt idx="3">
                  <c:v>4.0629999999999997</c:v>
                </c:pt>
                <c:pt idx="4">
                  <c:v>4.0960000000000001</c:v>
                </c:pt>
                <c:pt idx="5">
                  <c:v>4.125</c:v>
                </c:pt>
                <c:pt idx="6">
                  <c:v>4.1440000000000001</c:v>
                </c:pt>
                <c:pt idx="7">
                  <c:v>4.1470000000000002</c:v>
                </c:pt>
                <c:pt idx="8">
                  <c:v>4.1280000000000001</c:v>
                </c:pt>
                <c:pt idx="9">
                  <c:v>4.0809999999999995</c:v>
                </c:pt>
                <c:pt idx="10">
                  <c:v>3.9999999999999991</c:v>
                </c:pt>
                <c:pt idx="11">
                  <c:v>3.8674999999999984</c:v>
                </c:pt>
                <c:pt idx="12">
                  <c:v>3.6799999999999979</c:v>
                </c:pt>
                <c:pt idx="13">
                  <c:v>3.452499999999997</c:v>
                </c:pt>
                <c:pt idx="14">
                  <c:v>3.1999999999999966</c:v>
                </c:pt>
                <c:pt idx="15">
                  <c:v>2.9374999999999964</c:v>
                </c:pt>
                <c:pt idx="16">
                  <c:v>2.6799999999999962</c:v>
                </c:pt>
                <c:pt idx="17">
                  <c:v>2.4424999999999963</c:v>
                </c:pt>
                <c:pt idx="18">
                  <c:v>2.2399999999999971</c:v>
                </c:pt>
                <c:pt idx="19">
                  <c:v>2.0874999999999977</c:v>
                </c:pt>
                <c:pt idx="20">
                  <c:v>1.9999999999999991</c:v>
                </c:pt>
                <c:pt idx="21">
                  <c:v>1.9920000000000004</c:v>
                </c:pt>
                <c:pt idx="22">
                  <c:v>2.0560000000000009</c:v>
                </c:pt>
                <c:pt idx="23">
                  <c:v>2.1740000000000008</c:v>
                </c:pt>
                <c:pt idx="24">
                  <c:v>2.3280000000000007</c:v>
                </c:pt>
                <c:pt idx="25">
                  <c:v>2.5</c:v>
                </c:pt>
                <c:pt idx="26">
                  <c:v>2.6719999999999993</c:v>
                </c:pt>
                <c:pt idx="27">
                  <c:v>2.8259999999999992</c:v>
                </c:pt>
                <c:pt idx="28">
                  <c:v>2.9439999999999991</c:v>
                </c:pt>
                <c:pt idx="29">
                  <c:v>3.0079999999999991</c:v>
                </c:pt>
                <c:pt idx="30">
                  <c:v>3.0000000000000009</c:v>
                </c:pt>
                <c:pt idx="31">
                  <c:v>2.9102500000000027</c:v>
                </c:pt>
                <c:pt idx="32">
                  <c:v>2.7520000000000047</c:v>
                </c:pt>
                <c:pt idx="33">
                  <c:v>2.5417500000000066</c:v>
                </c:pt>
                <c:pt idx="34">
                  <c:v>2.2960000000000083</c:v>
                </c:pt>
                <c:pt idx="35">
                  <c:v>2.0312500000000098</c:v>
                </c:pt>
                <c:pt idx="36">
                  <c:v>1.7640000000000104</c:v>
                </c:pt>
                <c:pt idx="37">
                  <c:v>1.5107500000000103</c:v>
                </c:pt>
                <c:pt idx="38">
                  <c:v>1.2880000000000091</c:v>
                </c:pt>
                <c:pt idx="39">
                  <c:v>1.1122500000000071</c:v>
                </c:pt>
                <c:pt idx="40">
                  <c:v>1.000000000000004</c:v>
                </c:pt>
                <c:pt idx="41">
                  <c:v>0.93525000000000302</c:v>
                </c:pt>
                <c:pt idx="42">
                  <c:v>0.8920000000000019</c:v>
                </c:pt>
                <c:pt idx="43">
                  <c:v>0.87175000000000047</c:v>
                </c:pt>
                <c:pt idx="44">
                  <c:v>0.87599999999999878</c:v>
                </c:pt>
                <c:pt idx="45">
                  <c:v>0.90624999999999689</c:v>
                </c:pt>
                <c:pt idx="46">
                  <c:v>0.96399999999999464</c:v>
                </c:pt>
                <c:pt idx="47">
                  <c:v>1.0507499999999921</c:v>
                </c:pt>
                <c:pt idx="48">
                  <c:v>1.167999999999989</c:v>
                </c:pt>
                <c:pt idx="49">
                  <c:v>1.3172499999999858</c:v>
                </c:pt>
                <c:pt idx="50">
                  <c:v>1.4999999999999822</c:v>
                </c:pt>
                <c:pt idx="51">
                  <c:v>1.7577499999999713</c:v>
                </c:pt>
                <c:pt idx="52">
                  <c:v>2.1119999999999624</c:v>
                </c:pt>
                <c:pt idx="53">
                  <c:v>2.5342499999999557</c:v>
                </c:pt>
                <c:pt idx="54">
                  <c:v>2.9959999999999516</c:v>
                </c:pt>
                <c:pt idx="55">
                  <c:v>3.4687499999999503</c:v>
                </c:pt>
                <c:pt idx="56">
                  <c:v>3.923999999999952</c:v>
                </c:pt>
                <c:pt idx="57">
                  <c:v>4.333249999999957</c:v>
                </c:pt>
                <c:pt idx="58">
                  <c:v>4.6679999999999664</c:v>
                </c:pt>
                <c:pt idx="59">
                  <c:v>4.8997499999999796</c:v>
                </c:pt>
                <c:pt idx="60">
                  <c:v>4.9999999999999973</c:v>
                </c:pt>
                <c:pt idx="61">
                  <c:v>4.9497500000000159</c:v>
                </c:pt>
                <c:pt idx="62">
                  <c:v>4.7680000000000309</c:v>
                </c:pt>
                <c:pt idx="63">
                  <c:v>4.4832500000000444</c:v>
                </c:pt>
                <c:pt idx="64">
                  <c:v>4.1240000000000538</c:v>
                </c:pt>
                <c:pt idx="65">
                  <c:v>3.7187500000000595</c:v>
                </c:pt>
                <c:pt idx="66">
                  <c:v>3.2960000000000615</c:v>
                </c:pt>
                <c:pt idx="67">
                  <c:v>2.8842500000000593</c:v>
                </c:pt>
                <c:pt idx="68">
                  <c:v>2.5120000000000524</c:v>
                </c:pt>
                <c:pt idx="69">
                  <c:v>2.2077500000000407</c:v>
                </c:pt>
                <c:pt idx="70">
                  <c:v>2.0000000000000244</c:v>
                </c:pt>
                <c:pt idx="71">
                  <c:v>1.867250000000019</c:v>
                </c:pt>
                <c:pt idx="72">
                  <c:v>1.7680000000000138</c:v>
                </c:pt>
                <c:pt idx="73">
                  <c:v>1.7007500000000089</c:v>
                </c:pt>
                <c:pt idx="74">
                  <c:v>1.6640000000000037</c:v>
                </c:pt>
                <c:pt idx="75">
                  <c:v>1.6562499999999989</c:v>
                </c:pt>
                <c:pt idx="76">
                  <c:v>1.6759999999999939</c:v>
                </c:pt>
                <c:pt idx="77">
                  <c:v>1.7217499999999892</c:v>
                </c:pt>
                <c:pt idx="78">
                  <c:v>1.7919999999999845</c:v>
                </c:pt>
                <c:pt idx="79">
                  <c:v>1.8852499999999801</c:v>
                </c:pt>
                <c:pt idx="80">
                  <c:v>1.9999999999999756</c:v>
                </c:pt>
                <c:pt idx="81">
                  <c:v>2.1622499999999607</c:v>
                </c:pt>
                <c:pt idx="82">
                  <c:v>2.3879999999999488</c:v>
                </c:pt>
                <c:pt idx="83">
                  <c:v>2.6607499999999402</c:v>
                </c:pt>
                <c:pt idx="84">
                  <c:v>2.9639999999999347</c:v>
                </c:pt>
                <c:pt idx="85">
                  <c:v>3.2812499999999321</c:v>
                </c:pt>
                <c:pt idx="86">
                  <c:v>3.5959999999999335</c:v>
                </c:pt>
                <c:pt idx="87">
                  <c:v>3.8917499999999383</c:v>
                </c:pt>
                <c:pt idx="88">
                  <c:v>4.1519999999999468</c:v>
                </c:pt>
                <c:pt idx="89">
                  <c:v>4.3602499999999598</c:v>
                </c:pt>
                <c:pt idx="90">
                  <c:v>4.4999999999999769</c:v>
                </c:pt>
                <c:pt idx="91">
                  <c:v>4.5714999999999897</c:v>
                </c:pt>
                <c:pt idx="92">
                  <c:v>4.5920000000000005</c:v>
                </c:pt>
                <c:pt idx="93">
                  <c:v>4.5705000000000098</c:v>
                </c:pt>
                <c:pt idx="94">
                  <c:v>4.5160000000000169</c:v>
                </c:pt>
                <c:pt idx="95">
                  <c:v>4.4375000000000213</c:v>
                </c:pt>
                <c:pt idx="96">
                  <c:v>4.3440000000000243</c:v>
                </c:pt>
                <c:pt idx="97">
                  <c:v>4.2445000000000253</c:v>
                </c:pt>
                <c:pt idx="98">
                  <c:v>4.1480000000000237</c:v>
                </c:pt>
                <c:pt idx="99">
                  <c:v>4.0635000000000199</c:v>
                </c:pt>
                <c:pt idx="100">
                  <c:v>4.0000000000000133</c:v>
                </c:pt>
              </c:numCache>
            </c:numRef>
          </c:yVal>
          <c:smooth val="0"/>
          <c:extLst>
            <c:ext xmlns:c16="http://schemas.microsoft.com/office/drawing/2014/chart" uri="{C3380CC4-5D6E-409C-BE32-E72D297353CC}">
              <c16:uniqueId val="{00000001-410E-491D-87C3-3FFCDEAF449D}"/>
            </c:ext>
          </c:extLst>
        </c:ser>
        <c:dLbls>
          <c:showLegendKey val="0"/>
          <c:showVal val="0"/>
          <c:showCatName val="0"/>
          <c:showSerName val="0"/>
          <c:showPercent val="0"/>
          <c:showBubbleSize val="0"/>
        </c:dLbls>
        <c:axId val="849836048"/>
        <c:axId val="849836528"/>
      </c:scatterChart>
      <c:valAx>
        <c:axId val="849836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528"/>
        <c:crosses val="autoZero"/>
        <c:crossBetween val="midCat"/>
      </c:valAx>
      <c:valAx>
        <c:axId val="84983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0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1st</a:t>
            </a:r>
            <a:r>
              <a:rPr lang="en-US" baseline="0"/>
              <a:t> </a:t>
            </a:r>
            <a:r>
              <a:rPr lang="en-US"/>
              <a:t>Derivative of an Example Piecewise Polynomial</a:t>
            </a:r>
          </a:p>
        </c:rich>
      </c:tx>
      <c:layout>
        <c:manualLayout>
          <c:xMode val="edge"/>
          <c:yMode val="edge"/>
          <c:x val="0.25992944111887284"/>
          <c:y val="2.33918200462986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69961880909277"/>
          <c:y val="0.14130593277338269"/>
          <c:w val="0.84884893437074216"/>
          <c:h val="0.75479539985430766"/>
        </c:manualLayout>
      </c:layout>
      <c:scatterChart>
        <c:scatterStyle val="lineMarker"/>
        <c:varyColors val="0"/>
        <c:ser>
          <c:idx val="0"/>
          <c:order val="0"/>
          <c:spPr>
            <a:ln w="19050" cap="rnd">
              <a:noFill/>
              <a:round/>
            </a:ln>
            <a:effectLst/>
          </c:spPr>
          <c:marker>
            <c:symbol val="x"/>
            <c:size val="5"/>
            <c:spPr>
              <a:noFill/>
              <a:ln w="9525">
                <a:solidFill>
                  <a:schemeClr val="accent1"/>
                </a:solidFill>
              </a:ln>
              <a:effectLst/>
            </c:spPr>
          </c:marker>
          <c:xVal>
            <c:numRef>
              <c:f>Polynomials!$D$259:$CY$259</c:f>
              <c:numCache>
                <c:formatCode>General</c:formatCode>
                <c:ptCount val="100"/>
                <c:pt idx="0">
                  <c:v>0</c:v>
                </c:pt>
                <c:pt idx="1">
                  <c:v>0.15151515151515152</c:v>
                </c:pt>
                <c:pt idx="2">
                  <c:v>0.30303030303030304</c:v>
                </c:pt>
                <c:pt idx="3">
                  <c:v>0.45454545454545459</c:v>
                </c:pt>
                <c:pt idx="4">
                  <c:v>0.60606060606060608</c:v>
                </c:pt>
                <c:pt idx="5">
                  <c:v>0.75757575757575757</c:v>
                </c:pt>
                <c:pt idx="6">
                  <c:v>0.90909090909090906</c:v>
                </c:pt>
                <c:pt idx="7">
                  <c:v>1.0606060606060606</c:v>
                </c:pt>
                <c:pt idx="8">
                  <c:v>1.2121212121212122</c:v>
                </c:pt>
                <c:pt idx="9">
                  <c:v>1.3636363636363638</c:v>
                </c:pt>
                <c:pt idx="10">
                  <c:v>1.5151515151515154</c:v>
                </c:pt>
                <c:pt idx="11">
                  <c:v>1.666666666666667</c:v>
                </c:pt>
                <c:pt idx="12">
                  <c:v>1.8181818181818186</c:v>
                </c:pt>
                <c:pt idx="13">
                  <c:v>1.9696969696969702</c:v>
                </c:pt>
                <c:pt idx="14">
                  <c:v>2.1212121212121215</c:v>
                </c:pt>
                <c:pt idx="15">
                  <c:v>2.2727272727272729</c:v>
                </c:pt>
                <c:pt idx="16">
                  <c:v>2.4242424242424243</c:v>
                </c:pt>
                <c:pt idx="17">
                  <c:v>2.5757575757575757</c:v>
                </c:pt>
                <c:pt idx="18">
                  <c:v>2.7272727272727271</c:v>
                </c:pt>
                <c:pt idx="19">
                  <c:v>2.8787878787878785</c:v>
                </c:pt>
                <c:pt idx="20">
                  <c:v>3.0303030303030298</c:v>
                </c:pt>
                <c:pt idx="21">
                  <c:v>3.1818181818181812</c:v>
                </c:pt>
                <c:pt idx="22">
                  <c:v>3.3333333333333326</c:v>
                </c:pt>
                <c:pt idx="23">
                  <c:v>3.484848484848484</c:v>
                </c:pt>
                <c:pt idx="24">
                  <c:v>3.6363636363636354</c:v>
                </c:pt>
                <c:pt idx="25">
                  <c:v>3.7878787878787867</c:v>
                </c:pt>
                <c:pt idx="26">
                  <c:v>3.9393939393939381</c:v>
                </c:pt>
                <c:pt idx="27">
                  <c:v>4.0909090909090899</c:v>
                </c:pt>
                <c:pt idx="28">
                  <c:v>4.2424242424242413</c:v>
                </c:pt>
                <c:pt idx="29">
                  <c:v>4.3939393939393927</c:v>
                </c:pt>
                <c:pt idx="30">
                  <c:v>4.5454545454545441</c:v>
                </c:pt>
                <c:pt idx="31">
                  <c:v>4.6969696969696955</c:v>
                </c:pt>
                <c:pt idx="32">
                  <c:v>4.8484848484848468</c:v>
                </c:pt>
                <c:pt idx="33">
                  <c:v>4.9999999999999982</c:v>
                </c:pt>
                <c:pt idx="34">
                  <c:v>5.1515151515151496</c:v>
                </c:pt>
                <c:pt idx="35">
                  <c:v>5.303030303030301</c:v>
                </c:pt>
                <c:pt idx="36">
                  <c:v>5.4545454545454524</c:v>
                </c:pt>
                <c:pt idx="37">
                  <c:v>5.6060606060606037</c:v>
                </c:pt>
                <c:pt idx="38">
                  <c:v>5.7575757575757551</c:v>
                </c:pt>
                <c:pt idx="39">
                  <c:v>5.9090909090909065</c:v>
                </c:pt>
                <c:pt idx="40">
                  <c:v>6.0606060606060579</c:v>
                </c:pt>
                <c:pt idx="41">
                  <c:v>6.2121212121212093</c:v>
                </c:pt>
                <c:pt idx="42">
                  <c:v>6.3636363636363606</c:v>
                </c:pt>
                <c:pt idx="43">
                  <c:v>6.515151515151512</c:v>
                </c:pt>
                <c:pt idx="44">
                  <c:v>6.6666666666666634</c:v>
                </c:pt>
                <c:pt idx="45">
                  <c:v>6.8181818181818148</c:v>
                </c:pt>
                <c:pt idx="46">
                  <c:v>6.9696969696969662</c:v>
                </c:pt>
                <c:pt idx="47">
                  <c:v>7.1212121212121176</c:v>
                </c:pt>
                <c:pt idx="48">
                  <c:v>7.2727272727272689</c:v>
                </c:pt>
                <c:pt idx="49">
                  <c:v>7.4242424242424203</c:v>
                </c:pt>
                <c:pt idx="50">
                  <c:v>7.5757575757575717</c:v>
                </c:pt>
                <c:pt idx="51">
                  <c:v>7.7272727272727231</c:v>
                </c:pt>
                <c:pt idx="52">
                  <c:v>7.8787878787878745</c:v>
                </c:pt>
                <c:pt idx="53">
                  <c:v>8.0303030303030258</c:v>
                </c:pt>
                <c:pt idx="54">
                  <c:v>8.1818181818181781</c:v>
                </c:pt>
                <c:pt idx="55">
                  <c:v>8.3333333333333304</c:v>
                </c:pt>
                <c:pt idx="56">
                  <c:v>8.4848484848484826</c:v>
                </c:pt>
                <c:pt idx="57">
                  <c:v>8.6363636363636349</c:v>
                </c:pt>
                <c:pt idx="58">
                  <c:v>8.7878787878787872</c:v>
                </c:pt>
                <c:pt idx="59">
                  <c:v>8.9393939393939394</c:v>
                </c:pt>
                <c:pt idx="60">
                  <c:v>9.0909090909090917</c:v>
                </c:pt>
                <c:pt idx="61">
                  <c:v>9.242424242424244</c:v>
                </c:pt>
                <c:pt idx="62">
                  <c:v>9.3939393939393963</c:v>
                </c:pt>
                <c:pt idx="63">
                  <c:v>9.5454545454545485</c:v>
                </c:pt>
                <c:pt idx="64">
                  <c:v>9.6969696969697008</c:v>
                </c:pt>
                <c:pt idx="65">
                  <c:v>9.8484848484848531</c:v>
                </c:pt>
                <c:pt idx="66">
                  <c:v>10.000000000000005</c:v>
                </c:pt>
                <c:pt idx="67">
                  <c:v>10.151515151515158</c:v>
                </c:pt>
                <c:pt idx="68">
                  <c:v>10.30303030303031</c:v>
                </c:pt>
                <c:pt idx="69">
                  <c:v>10.454545454545462</c:v>
                </c:pt>
                <c:pt idx="70">
                  <c:v>10.606060606060614</c:v>
                </c:pt>
                <c:pt idx="71">
                  <c:v>10.757575757575767</c:v>
                </c:pt>
                <c:pt idx="72">
                  <c:v>10.909090909090919</c:v>
                </c:pt>
                <c:pt idx="73">
                  <c:v>11.060606060606071</c:v>
                </c:pt>
                <c:pt idx="74">
                  <c:v>11.212121212121223</c:v>
                </c:pt>
                <c:pt idx="75">
                  <c:v>11.363636363636376</c:v>
                </c:pt>
                <c:pt idx="76">
                  <c:v>11.515151515151528</c:v>
                </c:pt>
                <c:pt idx="77">
                  <c:v>11.66666666666668</c:v>
                </c:pt>
                <c:pt idx="78">
                  <c:v>11.818181818181833</c:v>
                </c:pt>
                <c:pt idx="79">
                  <c:v>11.969696969696985</c:v>
                </c:pt>
                <c:pt idx="80">
                  <c:v>12.121212121212137</c:v>
                </c:pt>
                <c:pt idx="81">
                  <c:v>12.272727272727289</c:v>
                </c:pt>
                <c:pt idx="82">
                  <c:v>12.424242424242442</c:v>
                </c:pt>
                <c:pt idx="83">
                  <c:v>12.575757575757594</c:v>
                </c:pt>
                <c:pt idx="84">
                  <c:v>12.727272727272746</c:v>
                </c:pt>
                <c:pt idx="85">
                  <c:v>12.878787878787898</c:v>
                </c:pt>
                <c:pt idx="86">
                  <c:v>13.030303030303051</c:v>
                </c:pt>
                <c:pt idx="87">
                  <c:v>13.181818181818203</c:v>
                </c:pt>
                <c:pt idx="88">
                  <c:v>13.333333333333355</c:v>
                </c:pt>
                <c:pt idx="89">
                  <c:v>13.484848484848508</c:v>
                </c:pt>
                <c:pt idx="90">
                  <c:v>13.63636363636366</c:v>
                </c:pt>
                <c:pt idx="91">
                  <c:v>13.787878787878812</c:v>
                </c:pt>
                <c:pt idx="92">
                  <c:v>13.939393939393964</c:v>
                </c:pt>
                <c:pt idx="93">
                  <c:v>14.090909090909117</c:v>
                </c:pt>
                <c:pt idx="94">
                  <c:v>14.242424242424269</c:v>
                </c:pt>
                <c:pt idx="95">
                  <c:v>14.393939393939421</c:v>
                </c:pt>
                <c:pt idx="96">
                  <c:v>14.545454545454573</c:v>
                </c:pt>
                <c:pt idx="97">
                  <c:v>14.696969696969726</c:v>
                </c:pt>
                <c:pt idx="98">
                  <c:v>14.848484848484878</c:v>
                </c:pt>
                <c:pt idx="99">
                  <c:v>15.00000000000003</c:v>
                </c:pt>
              </c:numCache>
            </c:numRef>
          </c:xVal>
          <c:yVal>
            <c:numRef>
              <c:f>Polynomials!$D$261:$CY$261</c:f>
              <c:numCache>
                <c:formatCode>General</c:formatCode>
                <c:ptCount val="100"/>
                <c:pt idx="0">
                  <c:v>1</c:v>
                </c:pt>
                <c:pt idx="1">
                  <c:v>0.83471074380165289</c:v>
                </c:pt>
                <c:pt idx="2">
                  <c:v>0.94490358126721763</c:v>
                </c:pt>
                <c:pt idx="3">
                  <c:v>1.3305785123966944</c:v>
                </c:pt>
                <c:pt idx="4">
                  <c:v>1.9917355371900827</c:v>
                </c:pt>
                <c:pt idx="5">
                  <c:v>2.9283746556473829</c:v>
                </c:pt>
                <c:pt idx="6">
                  <c:v>4.1404958677685944</c:v>
                </c:pt>
                <c:pt idx="7">
                  <c:v>5.6280991735537178</c:v>
                </c:pt>
                <c:pt idx="8">
                  <c:v>7.3911845730027554</c:v>
                </c:pt>
                <c:pt idx="9">
                  <c:v>9.4297520661157037</c:v>
                </c:pt>
                <c:pt idx="10">
                  <c:v>11.743801652892564</c:v>
                </c:pt>
                <c:pt idx="11">
                  <c:v>14.333333333333337</c:v>
                </c:pt>
                <c:pt idx="12">
                  <c:v>17.198347107438025</c:v>
                </c:pt>
                <c:pt idx="13">
                  <c:v>20.338842975206621</c:v>
                </c:pt>
                <c:pt idx="14">
                  <c:v>23.754820936639128</c:v>
                </c:pt>
                <c:pt idx="15">
                  <c:v>27.446280991735541</c:v>
                </c:pt>
                <c:pt idx="16">
                  <c:v>31.41322314049587</c:v>
                </c:pt>
                <c:pt idx="17">
                  <c:v>35.655647382920115</c:v>
                </c:pt>
                <c:pt idx="18">
                  <c:v>40.173553719008261</c:v>
                </c:pt>
                <c:pt idx="19">
                  <c:v>44.966942148760317</c:v>
                </c:pt>
                <c:pt idx="20">
                  <c:v>50.035812672176291</c:v>
                </c:pt>
                <c:pt idx="21">
                  <c:v>55.380165289256183</c:v>
                </c:pt>
                <c:pt idx="22">
                  <c:v>60.999999999999964</c:v>
                </c:pt>
                <c:pt idx="23">
                  <c:v>66.89531680440767</c:v>
                </c:pt>
                <c:pt idx="24">
                  <c:v>73.066115702479308</c:v>
                </c:pt>
                <c:pt idx="25">
                  <c:v>79.512396694214814</c:v>
                </c:pt>
                <c:pt idx="26">
                  <c:v>86.234159779614259</c:v>
                </c:pt>
                <c:pt idx="27">
                  <c:v>-0.9090909090908994</c:v>
                </c:pt>
                <c:pt idx="28">
                  <c:v>-2.4242424242424132</c:v>
                </c:pt>
                <c:pt idx="29">
                  <c:v>-3.939393939393927</c:v>
                </c:pt>
                <c:pt idx="30">
                  <c:v>-5.4545454545454408</c:v>
                </c:pt>
                <c:pt idx="31">
                  <c:v>-6.9696969696969546</c:v>
                </c:pt>
                <c:pt idx="32">
                  <c:v>-8.4848484848484684</c:v>
                </c:pt>
                <c:pt idx="33">
                  <c:v>-9.9999999999999822</c:v>
                </c:pt>
                <c:pt idx="34">
                  <c:v>-11.515151515151496</c:v>
                </c:pt>
                <c:pt idx="35">
                  <c:v>-13.03030303030301</c:v>
                </c:pt>
                <c:pt idx="36">
                  <c:v>-14.545454545454524</c:v>
                </c:pt>
                <c:pt idx="37">
                  <c:v>-16.060606060606037</c:v>
                </c:pt>
                <c:pt idx="38">
                  <c:v>-17.575757575757549</c:v>
                </c:pt>
                <c:pt idx="39">
                  <c:v>-19.090909090909065</c:v>
                </c:pt>
                <c:pt idx="40">
                  <c:v>-20.606060606060581</c:v>
                </c:pt>
                <c:pt idx="41">
                  <c:v>-22.121212121212093</c:v>
                </c:pt>
                <c:pt idx="42">
                  <c:v>-23.636363636363605</c:v>
                </c:pt>
                <c:pt idx="43">
                  <c:v>-25.15151515151512</c:v>
                </c:pt>
                <c:pt idx="44">
                  <c:v>-26.666666666666636</c:v>
                </c:pt>
                <c:pt idx="45">
                  <c:v>-28.181818181818148</c:v>
                </c:pt>
                <c:pt idx="46">
                  <c:v>-29.69696969696966</c:v>
                </c:pt>
                <c:pt idx="47">
                  <c:v>-31.212121212121176</c:v>
                </c:pt>
                <c:pt idx="48">
                  <c:v>-32.727272727272691</c:v>
                </c:pt>
                <c:pt idx="49">
                  <c:v>-34.242424242424207</c:v>
                </c:pt>
                <c:pt idx="50">
                  <c:v>-35.757575757575715</c:v>
                </c:pt>
                <c:pt idx="51">
                  <c:v>-37.272727272727231</c:v>
                </c:pt>
                <c:pt idx="52">
                  <c:v>-38.787878787878746</c:v>
                </c:pt>
                <c:pt idx="53">
                  <c:v>-40.303030303030255</c:v>
                </c:pt>
                <c:pt idx="54">
                  <c:v>-41.818181818181785</c:v>
                </c:pt>
                <c:pt idx="55">
                  <c:v>-43.3333333333333</c:v>
                </c:pt>
                <c:pt idx="56">
                  <c:v>-44.84848484848483</c:v>
                </c:pt>
                <c:pt idx="57">
                  <c:v>-46.363636363636346</c:v>
                </c:pt>
                <c:pt idx="58">
                  <c:v>-47.878787878787875</c:v>
                </c:pt>
                <c:pt idx="59">
                  <c:v>-49.393939393939391</c:v>
                </c:pt>
                <c:pt idx="60">
                  <c:v>-50.909090909090921</c:v>
                </c:pt>
                <c:pt idx="61">
                  <c:v>-52.424242424242436</c:v>
                </c:pt>
                <c:pt idx="62">
                  <c:v>-53.939393939393966</c:v>
                </c:pt>
                <c:pt idx="63">
                  <c:v>-55.454545454545482</c:v>
                </c:pt>
                <c:pt idx="64">
                  <c:v>-56.969696969697011</c:v>
                </c:pt>
                <c:pt idx="65">
                  <c:v>-58.484848484848527</c:v>
                </c:pt>
                <c:pt idx="66">
                  <c:v>4.0000000000000107</c:v>
                </c:pt>
                <c:pt idx="67">
                  <c:v>4.6334696830564983</c:v>
                </c:pt>
                <c:pt idx="68">
                  <c:v>5.8721651779503699</c:v>
                </c:pt>
                <c:pt idx="69">
                  <c:v>7.6326070623592281</c:v>
                </c:pt>
                <c:pt idx="70">
                  <c:v>9.8313159139606725</c:v>
                </c:pt>
                <c:pt idx="71">
                  <c:v>12.384812310432308</c:v>
                </c:pt>
                <c:pt idx="72">
                  <c:v>15.209616829451731</c:v>
                </c:pt>
                <c:pt idx="73">
                  <c:v>18.222250048696544</c:v>
                </c:pt>
                <c:pt idx="74">
                  <c:v>21.33923254584435</c:v>
                </c:pt>
                <c:pt idx="75">
                  <c:v>24.477084898572752</c:v>
                </c:pt>
                <c:pt idx="76">
                  <c:v>27.552327684559341</c:v>
                </c:pt>
                <c:pt idx="77">
                  <c:v>30.481481481481737</c:v>
                </c:pt>
                <c:pt idx="78">
                  <c:v>33.18106686701752</c:v>
                </c:pt>
                <c:pt idx="79">
                  <c:v>35.567604418844311</c:v>
                </c:pt>
                <c:pt idx="80">
                  <c:v>37.557614714639698</c:v>
                </c:pt>
                <c:pt idx="81">
                  <c:v>39.067618332081281</c:v>
                </c:pt>
                <c:pt idx="82">
                  <c:v>40.014135848846664</c:v>
                </c:pt>
                <c:pt idx="83">
                  <c:v>40.313687842613447</c:v>
                </c:pt>
                <c:pt idx="84">
                  <c:v>39.882794891059248</c:v>
                </c:pt>
                <c:pt idx="85">
                  <c:v>38.637977571861654</c:v>
                </c:pt>
                <c:pt idx="86">
                  <c:v>36.495756462698282</c:v>
                </c:pt>
                <c:pt idx="87">
                  <c:v>33.372652141246675</c:v>
                </c:pt>
                <c:pt idx="88">
                  <c:v>29.185185185184505</c:v>
                </c:pt>
                <c:pt idx="89">
                  <c:v>23.84987617218933</c:v>
                </c:pt>
                <c:pt idx="90">
                  <c:v>17.283245679938783</c:v>
                </c:pt>
                <c:pt idx="91">
                  <c:v>9.4018142861104401</c:v>
                </c:pt>
                <c:pt idx="92">
                  <c:v>0.1221025683819299</c:v>
                </c:pt>
                <c:pt idx="93">
                  <c:v>-10.639368895569174</c:v>
                </c:pt>
                <c:pt idx="94">
                  <c:v>-22.966079528065297</c:v>
                </c:pt>
                <c:pt idx="95">
                  <c:v>-36.941508751428813</c:v>
                </c:pt>
                <c:pt idx="96">
                  <c:v>-52.649135987982021</c:v>
                </c:pt>
                <c:pt idx="97">
                  <c:v>-70.172440660047457</c:v>
                </c:pt>
                <c:pt idx="98">
                  <c:v>-89.59490218994749</c:v>
                </c:pt>
                <c:pt idx="99">
                  <c:v>-111.00000000000443</c:v>
                </c:pt>
              </c:numCache>
            </c:numRef>
          </c:yVal>
          <c:smooth val="1"/>
          <c:extLst>
            <c:ext xmlns:c16="http://schemas.microsoft.com/office/drawing/2014/chart" uri="{C3380CC4-5D6E-409C-BE32-E72D297353CC}">
              <c16:uniqueId val="{00000000-E784-427F-91FC-1F5C17616C12}"/>
            </c:ext>
          </c:extLst>
        </c:ser>
        <c:dLbls>
          <c:showLegendKey val="0"/>
          <c:showVal val="0"/>
          <c:showCatName val="0"/>
          <c:showSerName val="0"/>
          <c:showPercent val="0"/>
          <c:showBubbleSize val="0"/>
        </c:dLbls>
        <c:axId val="1620767599"/>
        <c:axId val="1625613567"/>
      </c:scatterChart>
      <c:valAx>
        <c:axId val="16207675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x</a:t>
                </a:r>
              </a:p>
            </c:rich>
          </c:tx>
          <c:layout>
            <c:manualLayout>
              <c:xMode val="edge"/>
              <c:yMode val="edge"/>
              <c:x val="0.49420824082032699"/>
              <c:y val="0.9356724948726787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25613567"/>
        <c:crosses val="autoZero"/>
        <c:crossBetween val="midCat"/>
      </c:valAx>
      <c:valAx>
        <c:axId val="1625613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dy/dx</a:t>
                </a:r>
              </a:p>
            </c:rich>
          </c:tx>
          <c:layout>
            <c:manualLayout>
              <c:xMode val="edge"/>
              <c:yMode val="edge"/>
              <c:x val="6.5627535315709784E-3"/>
              <c:y val="0.487806937056050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207675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Cubic Spline</c:v>
          </c:tx>
          <c:spPr>
            <a:ln w="19050" cap="rnd">
              <a:solidFill>
                <a:schemeClr val="tx1"/>
              </a:solidFill>
              <a:round/>
            </a:ln>
            <a:effectLst/>
          </c:spPr>
          <c:marker>
            <c:symbol val="none"/>
          </c:marker>
          <c:xVal>
            <c:numRef>
              <c:f>Polynomials!$D$285:$CZ$285</c:f>
              <c:numCache>
                <c:formatCode>General</c:formatCode>
                <c:ptCount val="101"/>
                <c:pt idx="0">
                  <c:v>2</c:v>
                </c:pt>
                <c:pt idx="1">
                  <c:v>2.1</c:v>
                </c:pt>
                <c:pt idx="2">
                  <c:v>2.2000000000000002</c:v>
                </c:pt>
                <c:pt idx="3">
                  <c:v>2.3000000000000003</c:v>
                </c:pt>
                <c:pt idx="4">
                  <c:v>2.4000000000000004</c:v>
                </c:pt>
                <c:pt idx="5">
                  <c:v>2.5000000000000004</c:v>
                </c:pt>
                <c:pt idx="6">
                  <c:v>2.6000000000000005</c:v>
                </c:pt>
                <c:pt idx="7">
                  <c:v>2.7000000000000006</c:v>
                </c:pt>
                <c:pt idx="8">
                  <c:v>2.8000000000000007</c:v>
                </c:pt>
                <c:pt idx="9">
                  <c:v>2.9000000000000008</c:v>
                </c:pt>
                <c:pt idx="10">
                  <c:v>3.0000000000000009</c:v>
                </c:pt>
                <c:pt idx="11">
                  <c:v>3.100000000000001</c:v>
                </c:pt>
                <c:pt idx="12">
                  <c:v>3.2000000000000011</c:v>
                </c:pt>
                <c:pt idx="13">
                  <c:v>3.3000000000000012</c:v>
                </c:pt>
                <c:pt idx="14">
                  <c:v>3.4000000000000012</c:v>
                </c:pt>
                <c:pt idx="15">
                  <c:v>3.5000000000000013</c:v>
                </c:pt>
                <c:pt idx="16">
                  <c:v>3.6000000000000014</c:v>
                </c:pt>
                <c:pt idx="17">
                  <c:v>3.7000000000000015</c:v>
                </c:pt>
                <c:pt idx="18">
                  <c:v>3.8000000000000016</c:v>
                </c:pt>
                <c:pt idx="19">
                  <c:v>3.9000000000000017</c:v>
                </c:pt>
                <c:pt idx="20">
                  <c:v>4.0000000000000018</c:v>
                </c:pt>
                <c:pt idx="21">
                  <c:v>4.1000000000000014</c:v>
                </c:pt>
                <c:pt idx="22">
                  <c:v>4.2000000000000011</c:v>
                </c:pt>
                <c:pt idx="23">
                  <c:v>4.3000000000000007</c:v>
                </c:pt>
                <c:pt idx="24">
                  <c:v>4.4000000000000004</c:v>
                </c:pt>
                <c:pt idx="25">
                  <c:v>4.5</c:v>
                </c:pt>
                <c:pt idx="26">
                  <c:v>4.5999999999999996</c:v>
                </c:pt>
                <c:pt idx="27">
                  <c:v>4.6999999999999993</c:v>
                </c:pt>
                <c:pt idx="28">
                  <c:v>4.7999999999999989</c:v>
                </c:pt>
                <c:pt idx="29">
                  <c:v>4.8999999999999986</c:v>
                </c:pt>
                <c:pt idx="30">
                  <c:v>4.9999999999999982</c:v>
                </c:pt>
                <c:pt idx="31">
                  <c:v>5.0999999999999979</c:v>
                </c:pt>
                <c:pt idx="32">
                  <c:v>5.1999999999999975</c:v>
                </c:pt>
                <c:pt idx="33">
                  <c:v>5.2999999999999972</c:v>
                </c:pt>
                <c:pt idx="34">
                  <c:v>5.3999999999999968</c:v>
                </c:pt>
                <c:pt idx="35">
                  <c:v>5.4999999999999964</c:v>
                </c:pt>
                <c:pt idx="36">
                  <c:v>5.5999999999999961</c:v>
                </c:pt>
                <c:pt idx="37">
                  <c:v>5.6999999999999957</c:v>
                </c:pt>
                <c:pt idx="38">
                  <c:v>5.7999999999999954</c:v>
                </c:pt>
                <c:pt idx="39">
                  <c:v>5.899999999999995</c:v>
                </c:pt>
                <c:pt idx="40">
                  <c:v>5.9999999999999947</c:v>
                </c:pt>
                <c:pt idx="41">
                  <c:v>6.0999999999999943</c:v>
                </c:pt>
                <c:pt idx="42">
                  <c:v>6.199999999999994</c:v>
                </c:pt>
                <c:pt idx="43">
                  <c:v>6.2999999999999936</c:v>
                </c:pt>
                <c:pt idx="44">
                  <c:v>6.3999999999999932</c:v>
                </c:pt>
                <c:pt idx="45">
                  <c:v>6.4999999999999929</c:v>
                </c:pt>
                <c:pt idx="46">
                  <c:v>6.5999999999999925</c:v>
                </c:pt>
                <c:pt idx="47">
                  <c:v>6.6999999999999922</c:v>
                </c:pt>
                <c:pt idx="48">
                  <c:v>6.7999999999999918</c:v>
                </c:pt>
                <c:pt idx="49">
                  <c:v>6.8999999999999915</c:v>
                </c:pt>
                <c:pt idx="50">
                  <c:v>6.9999999999999911</c:v>
                </c:pt>
                <c:pt idx="51">
                  <c:v>7.0999999999999908</c:v>
                </c:pt>
                <c:pt idx="52">
                  <c:v>7.1999999999999904</c:v>
                </c:pt>
                <c:pt idx="53">
                  <c:v>7.2999999999999901</c:v>
                </c:pt>
                <c:pt idx="54">
                  <c:v>7.3999999999999897</c:v>
                </c:pt>
                <c:pt idx="55">
                  <c:v>7.4999999999999893</c:v>
                </c:pt>
                <c:pt idx="56">
                  <c:v>7.599999999999989</c:v>
                </c:pt>
                <c:pt idx="57">
                  <c:v>7.6999999999999886</c:v>
                </c:pt>
                <c:pt idx="58">
                  <c:v>7.7999999999999883</c:v>
                </c:pt>
                <c:pt idx="59">
                  <c:v>7.8999999999999879</c:v>
                </c:pt>
                <c:pt idx="60">
                  <c:v>7.9999999999999876</c:v>
                </c:pt>
                <c:pt idx="61">
                  <c:v>8.0999999999999872</c:v>
                </c:pt>
                <c:pt idx="62">
                  <c:v>8.1999999999999869</c:v>
                </c:pt>
                <c:pt idx="63">
                  <c:v>8.2999999999999865</c:v>
                </c:pt>
                <c:pt idx="64">
                  <c:v>8.3999999999999861</c:v>
                </c:pt>
                <c:pt idx="65">
                  <c:v>8.4999999999999858</c:v>
                </c:pt>
                <c:pt idx="66">
                  <c:v>8.5999999999999854</c:v>
                </c:pt>
                <c:pt idx="67">
                  <c:v>8.6999999999999851</c:v>
                </c:pt>
                <c:pt idx="68">
                  <c:v>8.7999999999999847</c:v>
                </c:pt>
                <c:pt idx="69">
                  <c:v>8.8999999999999844</c:v>
                </c:pt>
                <c:pt idx="70">
                  <c:v>8.999999999999984</c:v>
                </c:pt>
                <c:pt idx="71">
                  <c:v>9.0999999999999837</c:v>
                </c:pt>
                <c:pt idx="72">
                  <c:v>9.1999999999999833</c:v>
                </c:pt>
                <c:pt idx="73">
                  <c:v>9.2999999999999829</c:v>
                </c:pt>
                <c:pt idx="74">
                  <c:v>9.3999999999999826</c:v>
                </c:pt>
                <c:pt idx="75">
                  <c:v>9.4999999999999822</c:v>
                </c:pt>
                <c:pt idx="76">
                  <c:v>9.5999999999999819</c:v>
                </c:pt>
                <c:pt idx="77">
                  <c:v>9.6999999999999815</c:v>
                </c:pt>
                <c:pt idx="78">
                  <c:v>9.7999999999999812</c:v>
                </c:pt>
                <c:pt idx="79">
                  <c:v>9.8999999999999808</c:v>
                </c:pt>
                <c:pt idx="80">
                  <c:v>9.9999999999999805</c:v>
                </c:pt>
                <c:pt idx="81">
                  <c:v>10.09999999999998</c:v>
                </c:pt>
                <c:pt idx="82">
                  <c:v>10.19999999999998</c:v>
                </c:pt>
                <c:pt idx="83">
                  <c:v>10.299999999999979</c:v>
                </c:pt>
                <c:pt idx="84">
                  <c:v>10.399999999999979</c:v>
                </c:pt>
                <c:pt idx="85">
                  <c:v>10.499999999999979</c:v>
                </c:pt>
                <c:pt idx="86">
                  <c:v>10.599999999999978</c:v>
                </c:pt>
                <c:pt idx="87">
                  <c:v>10.699999999999978</c:v>
                </c:pt>
                <c:pt idx="88">
                  <c:v>10.799999999999978</c:v>
                </c:pt>
                <c:pt idx="89">
                  <c:v>10.899999999999977</c:v>
                </c:pt>
                <c:pt idx="90">
                  <c:v>10.999999999999977</c:v>
                </c:pt>
                <c:pt idx="91">
                  <c:v>11.099999999999977</c:v>
                </c:pt>
                <c:pt idx="92">
                  <c:v>11.199999999999976</c:v>
                </c:pt>
                <c:pt idx="93">
                  <c:v>11.299999999999976</c:v>
                </c:pt>
                <c:pt idx="94">
                  <c:v>11.399999999999975</c:v>
                </c:pt>
                <c:pt idx="95">
                  <c:v>11.499999999999975</c:v>
                </c:pt>
                <c:pt idx="96">
                  <c:v>11.599999999999975</c:v>
                </c:pt>
                <c:pt idx="97">
                  <c:v>11.699999999999974</c:v>
                </c:pt>
                <c:pt idx="98">
                  <c:v>11.799999999999974</c:v>
                </c:pt>
                <c:pt idx="99">
                  <c:v>11.899999999999974</c:v>
                </c:pt>
                <c:pt idx="100">
                  <c:v>11.999999999999973</c:v>
                </c:pt>
              </c:numCache>
            </c:numRef>
          </c:xVal>
          <c:yVal>
            <c:numRef>
              <c:f>Polynomials!$D$286:$CZ$286</c:f>
              <c:numCache>
                <c:formatCode>General</c:formatCode>
                <c:ptCount val="101"/>
                <c:pt idx="0">
                  <c:v>4</c:v>
                </c:pt>
                <c:pt idx="1">
                  <c:v>4.0090000000000003</c:v>
                </c:pt>
                <c:pt idx="2">
                  <c:v>4.032</c:v>
                </c:pt>
                <c:pt idx="3">
                  <c:v>4.0629999999999997</c:v>
                </c:pt>
                <c:pt idx="4">
                  <c:v>4.0960000000000001</c:v>
                </c:pt>
                <c:pt idx="5">
                  <c:v>4.125</c:v>
                </c:pt>
                <c:pt idx="6">
                  <c:v>4.1440000000000001</c:v>
                </c:pt>
                <c:pt idx="7">
                  <c:v>4.1470000000000002</c:v>
                </c:pt>
                <c:pt idx="8">
                  <c:v>4.1280000000000001</c:v>
                </c:pt>
                <c:pt idx="9">
                  <c:v>4.0809999999999995</c:v>
                </c:pt>
                <c:pt idx="10">
                  <c:v>3.9999999999999991</c:v>
                </c:pt>
                <c:pt idx="11">
                  <c:v>3.8674999999999984</c:v>
                </c:pt>
                <c:pt idx="12">
                  <c:v>3.6799999999999979</c:v>
                </c:pt>
                <c:pt idx="13">
                  <c:v>3.452499999999997</c:v>
                </c:pt>
                <c:pt idx="14">
                  <c:v>3.1999999999999966</c:v>
                </c:pt>
                <c:pt idx="15">
                  <c:v>2.9374999999999964</c:v>
                </c:pt>
                <c:pt idx="16">
                  <c:v>2.6799999999999962</c:v>
                </c:pt>
                <c:pt idx="17">
                  <c:v>2.4424999999999963</c:v>
                </c:pt>
                <c:pt idx="18">
                  <c:v>2.2399999999999971</c:v>
                </c:pt>
                <c:pt idx="19">
                  <c:v>2.0874999999999977</c:v>
                </c:pt>
                <c:pt idx="20">
                  <c:v>1.9999999999999991</c:v>
                </c:pt>
                <c:pt idx="21">
                  <c:v>1.9920000000000004</c:v>
                </c:pt>
                <c:pt idx="22">
                  <c:v>2.0560000000000009</c:v>
                </c:pt>
                <c:pt idx="23">
                  <c:v>2.1740000000000008</c:v>
                </c:pt>
                <c:pt idx="24">
                  <c:v>2.3280000000000007</c:v>
                </c:pt>
                <c:pt idx="25">
                  <c:v>2.5</c:v>
                </c:pt>
                <c:pt idx="26">
                  <c:v>2.6719999999999993</c:v>
                </c:pt>
                <c:pt idx="27">
                  <c:v>2.8259999999999992</c:v>
                </c:pt>
                <c:pt idx="28">
                  <c:v>2.9439999999999991</c:v>
                </c:pt>
                <c:pt idx="29">
                  <c:v>3.0079999999999991</c:v>
                </c:pt>
                <c:pt idx="30">
                  <c:v>3.0000000000000009</c:v>
                </c:pt>
                <c:pt idx="31">
                  <c:v>2.9102500000000027</c:v>
                </c:pt>
                <c:pt idx="32">
                  <c:v>2.7520000000000047</c:v>
                </c:pt>
                <c:pt idx="33">
                  <c:v>2.5417500000000066</c:v>
                </c:pt>
                <c:pt idx="34">
                  <c:v>2.2960000000000083</c:v>
                </c:pt>
                <c:pt idx="35">
                  <c:v>2.0312500000000098</c:v>
                </c:pt>
                <c:pt idx="36">
                  <c:v>1.7640000000000104</c:v>
                </c:pt>
                <c:pt idx="37">
                  <c:v>1.5107500000000103</c:v>
                </c:pt>
                <c:pt idx="38">
                  <c:v>1.2880000000000091</c:v>
                </c:pt>
                <c:pt idx="39">
                  <c:v>1.1122500000000071</c:v>
                </c:pt>
                <c:pt idx="40">
                  <c:v>1.000000000000004</c:v>
                </c:pt>
                <c:pt idx="41">
                  <c:v>0.93525000000000302</c:v>
                </c:pt>
                <c:pt idx="42">
                  <c:v>0.8920000000000019</c:v>
                </c:pt>
                <c:pt idx="43">
                  <c:v>0.87175000000000047</c:v>
                </c:pt>
                <c:pt idx="44">
                  <c:v>0.87599999999999878</c:v>
                </c:pt>
                <c:pt idx="45">
                  <c:v>0.90624999999999689</c:v>
                </c:pt>
                <c:pt idx="46">
                  <c:v>0.96399999999999464</c:v>
                </c:pt>
                <c:pt idx="47">
                  <c:v>1.0507499999999921</c:v>
                </c:pt>
                <c:pt idx="48">
                  <c:v>1.167999999999989</c:v>
                </c:pt>
                <c:pt idx="49">
                  <c:v>1.3172499999999858</c:v>
                </c:pt>
                <c:pt idx="50">
                  <c:v>1.4999999999999822</c:v>
                </c:pt>
                <c:pt idx="51">
                  <c:v>1.7577499999999713</c:v>
                </c:pt>
                <c:pt idx="52">
                  <c:v>2.1119999999999624</c:v>
                </c:pt>
                <c:pt idx="53">
                  <c:v>2.5342499999999557</c:v>
                </c:pt>
                <c:pt idx="54">
                  <c:v>2.9959999999999516</c:v>
                </c:pt>
                <c:pt idx="55">
                  <c:v>3.4687499999999503</c:v>
                </c:pt>
                <c:pt idx="56">
                  <c:v>3.923999999999952</c:v>
                </c:pt>
                <c:pt idx="57">
                  <c:v>4.333249999999957</c:v>
                </c:pt>
                <c:pt idx="58">
                  <c:v>4.6679999999999664</c:v>
                </c:pt>
                <c:pt idx="59">
                  <c:v>4.8997499999999796</c:v>
                </c:pt>
                <c:pt idx="60">
                  <c:v>4.9999999999999973</c:v>
                </c:pt>
                <c:pt idx="61">
                  <c:v>4.9497500000000159</c:v>
                </c:pt>
                <c:pt idx="62">
                  <c:v>4.7680000000000309</c:v>
                </c:pt>
                <c:pt idx="63">
                  <c:v>4.4832500000000444</c:v>
                </c:pt>
                <c:pt idx="64">
                  <c:v>4.1240000000000538</c:v>
                </c:pt>
                <c:pt idx="65">
                  <c:v>3.7187500000000595</c:v>
                </c:pt>
                <c:pt idx="66">
                  <c:v>3.2960000000000615</c:v>
                </c:pt>
                <c:pt idx="67">
                  <c:v>2.8842500000000593</c:v>
                </c:pt>
                <c:pt idx="68">
                  <c:v>2.5120000000000524</c:v>
                </c:pt>
                <c:pt idx="69">
                  <c:v>2.2077500000000407</c:v>
                </c:pt>
                <c:pt idx="70">
                  <c:v>2.0000000000000244</c:v>
                </c:pt>
                <c:pt idx="71">
                  <c:v>1.867250000000019</c:v>
                </c:pt>
                <c:pt idx="72">
                  <c:v>1.7680000000000138</c:v>
                </c:pt>
                <c:pt idx="73">
                  <c:v>1.7007500000000089</c:v>
                </c:pt>
                <c:pt idx="74">
                  <c:v>1.6640000000000037</c:v>
                </c:pt>
                <c:pt idx="75">
                  <c:v>1.6562499999999989</c:v>
                </c:pt>
                <c:pt idx="76">
                  <c:v>1.6759999999999939</c:v>
                </c:pt>
                <c:pt idx="77">
                  <c:v>1.7217499999999892</c:v>
                </c:pt>
                <c:pt idx="78">
                  <c:v>1.7919999999999845</c:v>
                </c:pt>
                <c:pt idx="79">
                  <c:v>1.8852499999999801</c:v>
                </c:pt>
                <c:pt idx="80">
                  <c:v>1.9999999999999756</c:v>
                </c:pt>
                <c:pt idx="81">
                  <c:v>2.1622499999999607</c:v>
                </c:pt>
                <c:pt idx="82">
                  <c:v>2.3879999999999488</c:v>
                </c:pt>
                <c:pt idx="83">
                  <c:v>2.6607499999999402</c:v>
                </c:pt>
                <c:pt idx="84">
                  <c:v>2.9639999999999347</c:v>
                </c:pt>
                <c:pt idx="85">
                  <c:v>3.2812499999999321</c:v>
                </c:pt>
                <c:pt idx="86">
                  <c:v>3.5959999999999335</c:v>
                </c:pt>
                <c:pt idx="87">
                  <c:v>3.8917499999999383</c:v>
                </c:pt>
                <c:pt idx="88">
                  <c:v>4.1519999999999468</c:v>
                </c:pt>
                <c:pt idx="89">
                  <c:v>4.3602499999999598</c:v>
                </c:pt>
                <c:pt idx="90">
                  <c:v>4.4999999999999769</c:v>
                </c:pt>
                <c:pt idx="91">
                  <c:v>4.5714999999999897</c:v>
                </c:pt>
                <c:pt idx="92">
                  <c:v>4.5920000000000005</c:v>
                </c:pt>
                <c:pt idx="93">
                  <c:v>4.5705000000000098</c:v>
                </c:pt>
                <c:pt idx="94">
                  <c:v>4.5160000000000169</c:v>
                </c:pt>
                <c:pt idx="95">
                  <c:v>4.4375000000000213</c:v>
                </c:pt>
                <c:pt idx="96">
                  <c:v>4.3440000000000243</c:v>
                </c:pt>
                <c:pt idx="97">
                  <c:v>4.2445000000000253</c:v>
                </c:pt>
                <c:pt idx="98">
                  <c:v>4.1480000000000237</c:v>
                </c:pt>
                <c:pt idx="99">
                  <c:v>4.0635000000000199</c:v>
                </c:pt>
                <c:pt idx="100">
                  <c:v>4.0000000000000133</c:v>
                </c:pt>
              </c:numCache>
            </c:numRef>
          </c:yVal>
          <c:smooth val="0"/>
          <c:extLst>
            <c:ext xmlns:c16="http://schemas.microsoft.com/office/drawing/2014/chart" uri="{C3380CC4-5D6E-409C-BE32-E72D297353CC}">
              <c16:uniqueId val="{00000001-E61E-4177-A167-872649000620}"/>
            </c:ext>
          </c:extLst>
        </c:ser>
        <c:ser>
          <c:idx val="0"/>
          <c:order val="1"/>
          <c:tx>
            <c:v>1st Derivative</c:v>
          </c:tx>
          <c:spPr>
            <a:ln w="19050" cap="rnd">
              <a:solidFill>
                <a:schemeClr val="accent1"/>
              </a:solidFill>
              <a:round/>
            </a:ln>
            <a:effectLst/>
          </c:spPr>
          <c:marker>
            <c:symbol val="none"/>
          </c:marker>
          <c:xVal>
            <c:numRef>
              <c:f>Polynomials!$D$285:$CZ$285</c:f>
              <c:numCache>
                <c:formatCode>General</c:formatCode>
                <c:ptCount val="101"/>
                <c:pt idx="0">
                  <c:v>2</c:v>
                </c:pt>
                <c:pt idx="1">
                  <c:v>2.1</c:v>
                </c:pt>
                <c:pt idx="2">
                  <c:v>2.2000000000000002</c:v>
                </c:pt>
                <c:pt idx="3">
                  <c:v>2.3000000000000003</c:v>
                </c:pt>
                <c:pt idx="4">
                  <c:v>2.4000000000000004</c:v>
                </c:pt>
                <c:pt idx="5">
                  <c:v>2.5000000000000004</c:v>
                </c:pt>
                <c:pt idx="6">
                  <c:v>2.6000000000000005</c:v>
                </c:pt>
                <c:pt idx="7">
                  <c:v>2.7000000000000006</c:v>
                </c:pt>
                <c:pt idx="8">
                  <c:v>2.8000000000000007</c:v>
                </c:pt>
                <c:pt idx="9">
                  <c:v>2.9000000000000008</c:v>
                </c:pt>
                <c:pt idx="10">
                  <c:v>3.0000000000000009</c:v>
                </c:pt>
                <c:pt idx="11">
                  <c:v>3.100000000000001</c:v>
                </c:pt>
                <c:pt idx="12">
                  <c:v>3.2000000000000011</c:v>
                </c:pt>
                <c:pt idx="13">
                  <c:v>3.3000000000000012</c:v>
                </c:pt>
                <c:pt idx="14">
                  <c:v>3.4000000000000012</c:v>
                </c:pt>
                <c:pt idx="15">
                  <c:v>3.5000000000000013</c:v>
                </c:pt>
                <c:pt idx="16">
                  <c:v>3.6000000000000014</c:v>
                </c:pt>
                <c:pt idx="17">
                  <c:v>3.7000000000000015</c:v>
                </c:pt>
                <c:pt idx="18">
                  <c:v>3.8000000000000016</c:v>
                </c:pt>
                <c:pt idx="19">
                  <c:v>3.9000000000000017</c:v>
                </c:pt>
                <c:pt idx="20">
                  <c:v>4.0000000000000018</c:v>
                </c:pt>
                <c:pt idx="21">
                  <c:v>4.1000000000000014</c:v>
                </c:pt>
                <c:pt idx="22">
                  <c:v>4.2000000000000011</c:v>
                </c:pt>
                <c:pt idx="23">
                  <c:v>4.3000000000000007</c:v>
                </c:pt>
                <c:pt idx="24">
                  <c:v>4.4000000000000004</c:v>
                </c:pt>
                <c:pt idx="25">
                  <c:v>4.5</c:v>
                </c:pt>
                <c:pt idx="26">
                  <c:v>4.5999999999999996</c:v>
                </c:pt>
                <c:pt idx="27">
                  <c:v>4.6999999999999993</c:v>
                </c:pt>
                <c:pt idx="28">
                  <c:v>4.7999999999999989</c:v>
                </c:pt>
                <c:pt idx="29">
                  <c:v>4.8999999999999986</c:v>
                </c:pt>
                <c:pt idx="30">
                  <c:v>4.9999999999999982</c:v>
                </c:pt>
                <c:pt idx="31">
                  <c:v>5.0999999999999979</c:v>
                </c:pt>
                <c:pt idx="32">
                  <c:v>5.1999999999999975</c:v>
                </c:pt>
                <c:pt idx="33">
                  <c:v>5.2999999999999972</c:v>
                </c:pt>
                <c:pt idx="34">
                  <c:v>5.3999999999999968</c:v>
                </c:pt>
                <c:pt idx="35">
                  <c:v>5.4999999999999964</c:v>
                </c:pt>
                <c:pt idx="36">
                  <c:v>5.5999999999999961</c:v>
                </c:pt>
                <c:pt idx="37">
                  <c:v>5.6999999999999957</c:v>
                </c:pt>
                <c:pt idx="38">
                  <c:v>5.7999999999999954</c:v>
                </c:pt>
                <c:pt idx="39">
                  <c:v>5.899999999999995</c:v>
                </c:pt>
                <c:pt idx="40">
                  <c:v>5.9999999999999947</c:v>
                </c:pt>
                <c:pt idx="41">
                  <c:v>6.0999999999999943</c:v>
                </c:pt>
                <c:pt idx="42">
                  <c:v>6.199999999999994</c:v>
                </c:pt>
                <c:pt idx="43">
                  <c:v>6.2999999999999936</c:v>
                </c:pt>
                <c:pt idx="44">
                  <c:v>6.3999999999999932</c:v>
                </c:pt>
                <c:pt idx="45">
                  <c:v>6.4999999999999929</c:v>
                </c:pt>
                <c:pt idx="46">
                  <c:v>6.5999999999999925</c:v>
                </c:pt>
                <c:pt idx="47">
                  <c:v>6.6999999999999922</c:v>
                </c:pt>
                <c:pt idx="48">
                  <c:v>6.7999999999999918</c:v>
                </c:pt>
                <c:pt idx="49">
                  <c:v>6.8999999999999915</c:v>
                </c:pt>
                <c:pt idx="50">
                  <c:v>6.9999999999999911</c:v>
                </c:pt>
                <c:pt idx="51">
                  <c:v>7.0999999999999908</c:v>
                </c:pt>
                <c:pt idx="52">
                  <c:v>7.1999999999999904</c:v>
                </c:pt>
                <c:pt idx="53">
                  <c:v>7.2999999999999901</c:v>
                </c:pt>
                <c:pt idx="54">
                  <c:v>7.3999999999999897</c:v>
                </c:pt>
                <c:pt idx="55">
                  <c:v>7.4999999999999893</c:v>
                </c:pt>
                <c:pt idx="56">
                  <c:v>7.599999999999989</c:v>
                </c:pt>
                <c:pt idx="57">
                  <c:v>7.6999999999999886</c:v>
                </c:pt>
                <c:pt idx="58">
                  <c:v>7.7999999999999883</c:v>
                </c:pt>
                <c:pt idx="59">
                  <c:v>7.8999999999999879</c:v>
                </c:pt>
                <c:pt idx="60">
                  <c:v>7.9999999999999876</c:v>
                </c:pt>
                <c:pt idx="61">
                  <c:v>8.0999999999999872</c:v>
                </c:pt>
                <c:pt idx="62">
                  <c:v>8.1999999999999869</c:v>
                </c:pt>
                <c:pt idx="63">
                  <c:v>8.2999999999999865</c:v>
                </c:pt>
                <c:pt idx="64">
                  <c:v>8.3999999999999861</c:v>
                </c:pt>
                <c:pt idx="65">
                  <c:v>8.4999999999999858</c:v>
                </c:pt>
                <c:pt idx="66">
                  <c:v>8.5999999999999854</c:v>
                </c:pt>
                <c:pt idx="67">
                  <c:v>8.6999999999999851</c:v>
                </c:pt>
                <c:pt idx="68">
                  <c:v>8.7999999999999847</c:v>
                </c:pt>
                <c:pt idx="69">
                  <c:v>8.8999999999999844</c:v>
                </c:pt>
                <c:pt idx="70">
                  <c:v>8.999999999999984</c:v>
                </c:pt>
                <c:pt idx="71">
                  <c:v>9.0999999999999837</c:v>
                </c:pt>
                <c:pt idx="72">
                  <c:v>9.1999999999999833</c:v>
                </c:pt>
                <c:pt idx="73">
                  <c:v>9.2999999999999829</c:v>
                </c:pt>
                <c:pt idx="74">
                  <c:v>9.3999999999999826</c:v>
                </c:pt>
                <c:pt idx="75">
                  <c:v>9.4999999999999822</c:v>
                </c:pt>
                <c:pt idx="76">
                  <c:v>9.5999999999999819</c:v>
                </c:pt>
                <c:pt idx="77">
                  <c:v>9.6999999999999815</c:v>
                </c:pt>
                <c:pt idx="78">
                  <c:v>9.7999999999999812</c:v>
                </c:pt>
                <c:pt idx="79">
                  <c:v>9.8999999999999808</c:v>
                </c:pt>
                <c:pt idx="80">
                  <c:v>9.9999999999999805</c:v>
                </c:pt>
                <c:pt idx="81">
                  <c:v>10.09999999999998</c:v>
                </c:pt>
                <c:pt idx="82">
                  <c:v>10.19999999999998</c:v>
                </c:pt>
                <c:pt idx="83">
                  <c:v>10.299999999999979</c:v>
                </c:pt>
                <c:pt idx="84">
                  <c:v>10.399999999999979</c:v>
                </c:pt>
                <c:pt idx="85">
                  <c:v>10.499999999999979</c:v>
                </c:pt>
                <c:pt idx="86">
                  <c:v>10.599999999999978</c:v>
                </c:pt>
                <c:pt idx="87">
                  <c:v>10.699999999999978</c:v>
                </c:pt>
                <c:pt idx="88">
                  <c:v>10.799999999999978</c:v>
                </c:pt>
                <c:pt idx="89">
                  <c:v>10.899999999999977</c:v>
                </c:pt>
                <c:pt idx="90">
                  <c:v>10.999999999999977</c:v>
                </c:pt>
                <c:pt idx="91">
                  <c:v>11.099999999999977</c:v>
                </c:pt>
                <c:pt idx="92">
                  <c:v>11.199999999999976</c:v>
                </c:pt>
                <c:pt idx="93">
                  <c:v>11.299999999999976</c:v>
                </c:pt>
                <c:pt idx="94">
                  <c:v>11.399999999999975</c:v>
                </c:pt>
                <c:pt idx="95">
                  <c:v>11.499999999999975</c:v>
                </c:pt>
                <c:pt idx="96">
                  <c:v>11.599999999999975</c:v>
                </c:pt>
                <c:pt idx="97">
                  <c:v>11.699999999999974</c:v>
                </c:pt>
                <c:pt idx="98">
                  <c:v>11.799999999999974</c:v>
                </c:pt>
                <c:pt idx="99">
                  <c:v>11.899999999999974</c:v>
                </c:pt>
                <c:pt idx="100">
                  <c:v>11.999999999999973</c:v>
                </c:pt>
              </c:numCache>
            </c:numRef>
          </c:xVal>
          <c:yVal>
            <c:numRef>
              <c:f>Polynomials!$D$287:$CZ$287</c:f>
              <c:numCache>
                <c:formatCode>General</c:formatCode>
                <c:ptCount val="101"/>
                <c:pt idx="0">
                  <c:v>0</c:v>
                </c:pt>
                <c:pt idx="1">
                  <c:v>0.17000000000000012</c:v>
                </c:pt>
                <c:pt idx="2">
                  <c:v>0.28000000000000014</c:v>
                </c:pt>
                <c:pt idx="3">
                  <c:v>0.33000000000000007</c:v>
                </c:pt>
                <c:pt idx="4">
                  <c:v>0.31999999999999984</c:v>
                </c:pt>
                <c:pt idx="5">
                  <c:v>0.24999999999999956</c:v>
                </c:pt>
                <c:pt idx="6">
                  <c:v>0.11999999999999922</c:v>
                </c:pt>
                <c:pt idx="7">
                  <c:v>-7.0000000000001394E-2</c:v>
                </c:pt>
                <c:pt idx="8">
                  <c:v>-0.32000000000000206</c:v>
                </c:pt>
                <c:pt idx="9">
                  <c:v>-0.63000000000000256</c:v>
                </c:pt>
                <c:pt idx="10">
                  <c:v>-1.0000000000000062</c:v>
                </c:pt>
                <c:pt idx="11">
                  <c:v>-1.6250000000000053</c:v>
                </c:pt>
                <c:pt idx="12">
                  <c:v>-2.1000000000000041</c:v>
                </c:pt>
                <c:pt idx="13">
                  <c:v>-2.4250000000000029</c:v>
                </c:pt>
                <c:pt idx="14">
                  <c:v>-2.6000000000000014</c:v>
                </c:pt>
                <c:pt idx="15">
                  <c:v>-2.6249999999999991</c:v>
                </c:pt>
                <c:pt idx="16">
                  <c:v>-2.4999999999999973</c:v>
                </c:pt>
                <c:pt idx="17">
                  <c:v>-2.2249999999999952</c:v>
                </c:pt>
                <c:pt idx="18">
                  <c:v>-1.7999999999999918</c:v>
                </c:pt>
                <c:pt idx="19">
                  <c:v>-1.2249999999999881</c:v>
                </c:pt>
                <c:pt idx="20">
                  <c:v>-0.49999999999998401</c:v>
                </c:pt>
                <c:pt idx="21">
                  <c:v>0.31000000000001027</c:v>
                </c:pt>
                <c:pt idx="22">
                  <c:v>0.94000000000000572</c:v>
                </c:pt>
                <c:pt idx="23">
                  <c:v>1.3900000000000026</c:v>
                </c:pt>
                <c:pt idx="24">
                  <c:v>1.6600000000000006</c:v>
                </c:pt>
                <c:pt idx="25">
                  <c:v>1.75</c:v>
                </c:pt>
                <c:pt idx="26">
                  <c:v>1.6600000000000006</c:v>
                </c:pt>
                <c:pt idx="27">
                  <c:v>1.3900000000000023</c:v>
                </c:pt>
                <c:pt idx="28">
                  <c:v>0.94000000000000483</c:v>
                </c:pt>
                <c:pt idx="29">
                  <c:v>0.31000000000001116</c:v>
                </c:pt>
                <c:pt idx="30">
                  <c:v>-0.49999999999998401</c:v>
                </c:pt>
                <c:pt idx="31">
                  <c:v>-1.2674999999999854</c:v>
                </c:pt>
                <c:pt idx="32">
                  <c:v>-1.869999999999987</c:v>
                </c:pt>
                <c:pt idx="33">
                  <c:v>-2.3074999999999899</c:v>
                </c:pt>
                <c:pt idx="34">
                  <c:v>-2.5799999999999939</c:v>
                </c:pt>
                <c:pt idx="35">
                  <c:v>-2.6874999999999991</c:v>
                </c:pt>
                <c:pt idx="36">
                  <c:v>-2.6300000000000052</c:v>
                </c:pt>
                <c:pt idx="37">
                  <c:v>-2.4075000000000131</c:v>
                </c:pt>
                <c:pt idx="38">
                  <c:v>-2.0200000000000218</c:v>
                </c:pt>
                <c:pt idx="39">
                  <c:v>-1.4675000000000313</c:v>
                </c:pt>
                <c:pt idx="40">
                  <c:v>-0.75000000000004263</c:v>
                </c:pt>
                <c:pt idx="41">
                  <c:v>-0.54250000000001219</c:v>
                </c:pt>
                <c:pt idx="42">
                  <c:v>-0.32000000000001388</c:v>
                </c:pt>
                <c:pt idx="43">
                  <c:v>-8.2500000000015672E-2</c:v>
                </c:pt>
                <c:pt idx="44">
                  <c:v>0.16999999999998239</c:v>
                </c:pt>
                <c:pt idx="45">
                  <c:v>0.43749999999998046</c:v>
                </c:pt>
                <c:pt idx="46">
                  <c:v>0.71999999999997844</c:v>
                </c:pt>
                <c:pt idx="47">
                  <c:v>1.0174999999999761</c:v>
                </c:pt>
                <c:pt idx="48">
                  <c:v>1.3299999999999739</c:v>
                </c:pt>
                <c:pt idx="49">
                  <c:v>1.6574999999999713</c:v>
                </c:pt>
                <c:pt idx="50">
                  <c:v>1.9999999999999689</c:v>
                </c:pt>
                <c:pt idx="51">
                  <c:v>3.1074999999999111</c:v>
                </c:pt>
                <c:pt idx="52">
                  <c:v>3.9299999999999349</c:v>
                </c:pt>
                <c:pt idx="53">
                  <c:v>4.4674999999999603</c:v>
                </c:pt>
                <c:pt idx="54">
                  <c:v>4.7199999999999882</c:v>
                </c:pt>
                <c:pt idx="55">
                  <c:v>4.6875000000000187</c:v>
                </c:pt>
                <c:pt idx="56">
                  <c:v>4.3700000000000507</c:v>
                </c:pt>
                <c:pt idx="57">
                  <c:v>3.7675000000000853</c:v>
                </c:pt>
                <c:pt idx="58">
                  <c:v>2.8800000000001216</c:v>
                </c:pt>
                <c:pt idx="59">
                  <c:v>1.7075000000001577</c:v>
                </c:pt>
                <c:pt idx="60">
                  <c:v>0.25000000000019895</c:v>
                </c:pt>
                <c:pt idx="61">
                  <c:v>-1.2074999999998317</c:v>
                </c:pt>
                <c:pt idx="62">
                  <c:v>-2.3799999999998649</c:v>
                </c:pt>
                <c:pt idx="63">
                  <c:v>-3.2674999999998993</c:v>
                </c:pt>
                <c:pt idx="64">
                  <c:v>-3.8699999999999362</c:v>
                </c:pt>
                <c:pt idx="65">
                  <c:v>-4.1874999999999751</c:v>
                </c:pt>
                <c:pt idx="66">
                  <c:v>-4.2200000000000166</c:v>
                </c:pt>
                <c:pt idx="67">
                  <c:v>-3.9675000000000589</c:v>
                </c:pt>
                <c:pt idx="68">
                  <c:v>-3.4300000000001027</c:v>
                </c:pt>
                <c:pt idx="69">
                  <c:v>-2.6075000000001509</c:v>
                </c:pt>
                <c:pt idx="70">
                  <c:v>-1.500000000000199</c:v>
                </c:pt>
                <c:pt idx="71">
                  <c:v>-1.1575000000000548</c:v>
                </c:pt>
                <c:pt idx="72">
                  <c:v>-0.83000000000005347</c:v>
                </c:pt>
                <c:pt idx="73">
                  <c:v>-0.51750000000005203</c:v>
                </c:pt>
                <c:pt idx="74">
                  <c:v>-0.22000000000005038</c:v>
                </c:pt>
                <c:pt idx="75">
                  <c:v>6.249999999995115E-2</c:v>
                </c:pt>
                <c:pt idx="76">
                  <c:v>0.329999999999953</c:v>
                </c:pt>
                <c:pt idx="77">
                  <c:v>0.58249999999995472</c:v>
                </c:pt>
                <c:pt idx="78">
                  <c:v>0.81999999999995676</c:v>
                </c:pt>
                <c:pt idx="79">
                  <c:v>1.0424999999999587</c:v>
                </c:pt>
                <c:pt idx="80">
                  <c:v>1.2499999999999609</c:v>
                </c:pt>
                <c:pt idx="81">
                  <c:v>1.9674999999998737</c:v>
                </c:pt>
                <c:pt idx="82">
                  <c:v>2.5199999999999045</c:v>
                </c:pt>
                <c:pt idx="83">
                  <c:v>2.9074999999999371</c:v>
                </c:pt>
                <c:pt idx="84">
                  <c:v>3.1299999999999706</c:v>
                </c:pt>
                <c:pt idx="85">
                  <c:v>3.1875000000000053</c:v>
                </c:pt>
                <c:pt idx="86">
                  <c:v>3.0800000000000409</c:v>
                </c:pt>
                <c:pt idx="87">
                  <c:v>2.8075000000000783</c:v>
                </c:pt>
                <c:pt idx="88">
                  <c:v>2.3700000000001165</c:v>
                </c:pt>
                <c:pt idx="89">
                  <c:v>1.7675000000001555</c:v>
                </c:pt>
                <c:pt idx="90">
                  <c:v>1.0000000000001954</c:v>
                </c:pt>
                <c:pt idx="91">
                  <c:v>0.44500000000011963</c:v>
                </c:pt>
                <c:pt idx="92">
                  <c:v>-1.9999999999900098E-2</c:v>
                </c:pt>
                <c:pt idx="93">
                  <c:v>-0.3949999999999203</c:v>
                </c:pt>
                <c:pt idx="94">
                  <c:v>-0.6799999999999411</c:v>
                </c:pt>
                <c:pt idx="95">
                  <c:v>-0.8749999999999627</c:v>
                </c:pt>
                <c:pt idx="96">
                  <c:v>-0.97999999999998488</c:v>
                </c:pt>
                <c:pt idx="97">
                  <c:v>-0.99500000000000766</c:v>
                </c:pt>
                <c:pt idx="98">
                  <c:v>-0.92000000000003102</c:v>
                </c:pt>
                <c:pt idx="99">
                  <c:v>-0.7550000000000554</c:v>
                </c:pt>
                <c:pt idx="100">
                  <c:v>-0.50000000000007994</c:v>
                </c:pt>
              </c:numCache>
            </c:numRef>
          </c:yVal>
          <c:smooth val="0"/>
          <c:extLst>
            <c:ext xmlns:c16="http://schemas.microsoft.com/office/drawing/2014/chart" uri="{C3380CC4-5D6E-409C-BE32-E72D297353CC}">
              <c16:uniqueId val="{00000002-E61E-4177-A167-872649000620}"/>
            </c:ext>
          </c:extLst>
        </c:ser>
        <c:ser>
          <c:idx val="2"/>
          <c:order val="2"/>
          <c:tx>
            <c:v>2nd Derivative</c:v>
          </c:tx>
          <c:spPr>
            <a:ln w="19050" cap="rnd">
              <a:solidFill>
                <a:schemeClr val="accent4"/>
              </a:solidFill>
              <a:round/>
            </a:ln>
            <a:effectLst/>
          </c:spPr>
          <c:marker>
            <c:symbol val="x"/>
            <c:size val="5"/>
            <c:spPr>
              <a:noFill/>
              <a:ln w="9525">
                <a:solidFill>
                  <a:schemeClr val="accent4"/>
                </a:solidFill>
              </a:ln>
              <a:effectLst/>
            </c:spPr>
          </c:marker>
          <c:dPt>
            <c:idx val="10"/>
            <c:marker>
              <c:symbol val="x"/>
              <c:size val="5"/>
              <c:spPr>
                <a:noFill/>
                <a:ln w="9525">
                  <a:solidFill>
                    <a:schemeClr val="accent4"/>
                  </a:solidFill>
                </a:ln>
                <a:effectLst/>
              </c:spPr>
            </c:marker>
            <c:bubble3D val="0"/>
            <c:spPr>
              <a:ln w="19050" cap="rnd">
                <a:noFill/>
                <a:round/>
              </a:ln>
              <a:effectLst/>
            </c:spPr>
            <c:extLst>
              <c:ext xmlns:c16="http://schemas.microsoft.com/office/drawing/2014/chart" uri="{C3380CC4-5D6E-409C-BE32-E72D297353CC}">
                <c16:uniqueId val="{00000005-E61E-4177-A167-872649000620}"/>
              </c:ext>
            </c:extLst>
          </c:dPt>
          <c:dPt>
            <c:idx val="41"/>
            <c:marker>
              <c:symbol val="x"/>
              <c:size val="5"/>
              <c:spPr>
                <a:noFill/>
                <a:ln w="9525">
                  <a:solidFill>
                    <a:schemeClr val="accent4"/>
                  </a:solidFill>
                </a:ln>
                <a:effectLst/>
              </c:spPr>
            </c:marker>
            <c:bubble3D val="0"/>
            <c:spPr>
              <a:ln w="19050" cap="rnd">
                <a:noFill/>
                <a:round/>
              </a:ln>
              <a:effectLst/>
            </c:spPr>
            <c:extLst>
              <c:ext xmlns:c16="http://schemas.microsoft.com/office/drawing/2014/chart" uri="{C3380CC4-5D6E-409C-BE32-E72D297353CC}">
                <c16:uniqueId val="{00000004-E61E-4177-A167-872649000620}"/>
              </c:ext>
            </c:extLst>
          </c:dPt>
          <c:dPt>
            <c:idx val="51"/>
            <c:marker>
              <c:symbol val="x"/>
              <c:size val="5"/>
              <c:spPr>
                <a:noFill/>
                <a:ln w="9525">
                  <a:solidFill>
                    <a:schemeClr val="accent4"/>
                  </a:solidFill>
                </a:ln>
                <a:effectLst/>
              </c:spPr>
            </c:marker>
            <c:bubble3D val="0"/>
            <c:spPr>
              <a:ln w="19050" cap="rnd">
                <a:noFill/>
                <a:round/>
              </a:ln>
              <a:effectLst/>
            </c:spPr>
            <c:extLst>
              <c:ext xmlns:c16="http://schemas.microsoft.com/office/drawing/2014/chart" uri="{C3380CC4-5D6E-409C-BE32-E72D297353CC}">
                <c16:uniqueId val="{00000006-E61E-4177-A167-872649000620}"/>
              </c:ext>
            </c:extLst>
          </c:dPt>
          <c:dPt>
            <c:idx val="71"/>
            <c:marker>
              <c:symbol val="x"/>
              <c:size val="5"/>
              <c:spPr>
                <a:noFill/>
                <a:ln w="9525">
                  <a:solidFill>
                    <a:schemeClr val="accent4"/>
                  </a:solidFill>
                </a:ln>
                <a:effectLst/>
              </c:spPr>
            </c:marker>
            <c:bubble3D val="0"/>
            <c:spPr>
              <a:ln w="19050" cap="rnd">
                <a:noFill/>
                <a:round/>
              </a:ln>
              <a:effectLst/>
            </c:spPr>
            <c:extLst>
              <c:ext xmlns:c16="http://schemas.microsoft.com/office/drawing/2014/chart" uri="{C3380CC4-5D6E-409C-BE32-E72D297353CC}">
                <c16:uniqueId val="{00000007-E61E-4177-A167-872649000620}"/>
              </c:ext>
            </c:extLst>
          </c:dPt>
          <c:dPt>
            <c:idx val="81"/>
            <c:marker>
              <c:symbol val="x"/>
              <c:size val="5"/>
              <c:spPr>
                <a:noFill/>
                <a:ln w="9525">
                  <a:solidFill>
                    <a:schemeClr val="accent4"/>
                  </a:solidFill>
                </a:ln>
                <a:effectLst/>
              </c:spPr>
            </c:marker>
            <c:bubble3D val="0"/>
            <c:spPr>
              <a:ln w="19050" cap="rnd">
                <a:noFill/>
                <a:round/>
              </a:ln>
              <a:effectLst/>
            </c:spPr>
            <c:extLst>
              <c:ext xmlns:c16="http://schemas.microsoft.com/office/drawing/2014/chart" uri="{C3380CC4-5D6E-409C-BE32-E72D297353CC}">
                <c16:uniqueId val="{00000008-E61E-4177-A167-872649000620}"/>
              </c:ext>
            </c:extLst>
          </c:dPt>
          <c:dPt>
            <c:idx val="91"/>
            <c:marker>
              <c:symbol val="x"/>
              <c:size val="5"/>
              <c:spPr>
                <a:noFill/>
                <a:ln w="9525">
                  <a:solidFill>
                    <a:schemeClr val="accent4"/>
                  </a:solidFill>
                </a:ln>
                <a:effectLst/>
              </c:spPr>
            </c:marker>
            <c:bubble3D val="0"/>
            <c:spPr>
              <a:ln w="19050" cap="rnd">
                <a:noFill/>
                <a:round/>
              </a:ln>
              <a:effectLst/>
            </c:spPr>
            <c:extLst>
              <c:ext xmlns:c16="http://schemas.microsoft.com/office/drawing/2014/chart" uri="{C3380CC4-5D6E-409C-BE32-E72D297353CC}">
                <c16:uniqueId val="{00000009-E61E-4177-A167-872649000620}"/>
              </c:ext>
            </c:extLst>
          </c:dPt>
          <c:xVal>
            <c:numRef>
              <c:f>Polynomials!$D$285:$CZ$285</c:f>
              <c:numCache>
                <c:formatCode>General</c:formatCode>
                <c:ptCount val="101"/>
                <c:pt idx="0">
                  <c:v>2</c:v>
                </c:pt>
                <c:pt idx="1">
                  <c:v>2.1</c:v>
                </c:pt>
                <c:pt idx="2">
                  <c:v>2.2000000000000002</c:v>
                </c:pt>
                <c:pt idx="3">
                  <c:v>2.3000000000000003</c:v>
                </c:pt>
                <c:pt idx="4">
                  <c:v>2.4000000000000004</c:v>
                </c:pt>
                <c:pt idx="5">
                  <c:v>2.5000000000000004</c:v>
                </c:pt>
                <c:pt idx="6">
                  <c:v>2.6000000000000005</c:v>
                </c:pt>
                <c:pt idx="7">
                  <c:v>2.7000000000000006</c:v>
                </c:pt>
                <c:pt idx="8">
                  <c:v>2.8000000000000007</c:v>
                </c:pt>
                <c:pt idx="9">
                  <c:v>2.9000000000000008</c:v>
                </c:pt>
                <c:pt idx="10">
                  <c:v>3.0000000000000009</c:v>
                </c:pt>
                <c:pt idx="11">
                  <c:v>3.100000000000001</c:v>
                </c:pt>
                <c:pt idx="12">
                  <c:v>3.2000000000000011</c:v>
                </c:pt>
                <c:pt idx="13">
                  <c:v>3.3000000000000012</c:v>
                </c:pt>
                <c:pt idx="14">
                  <c:v>3.4000000000000012</c:v>
                </c:pt>
                <c:pt idx="15">
                  <c:v>3.5000000000000013</c:v>
                </c:pt>
                <c:pt idx="16">
                  <c:v>3.6000000000000014</c:v>
                </c:pt>
                <c:pt idx="17">
                  <c:v>3.7000000000000015</c:v>
                </c:pt>
                <c:pt idx="18">
                  <c:v>3.8000000000000016</c:v>
                </c:pt>
                <c:pt idx="19">
                  <c:v>3.9000000000000017</c:v>
                </c:pt>
                <c:pt idx="20">
                  <c:v>4.0000000000000018</c:v>
                </c:pt>
                <c:pt idx="21">
                  <c:v>4.1000000000000014</c:v>
                </c:pt>
                <c:pt idx="22">
                  <c:v>4.2000000000000011</c:v>
                </c:pt>
                <c:pt idx="23">
                  <c:v>4.3000000000000007</c:v>
                </c:pt>
                <c:pt idx="24">
                  <c:v>4.4000000000000004</c:v>
                </c:pt>
                <c:pt idx="25">
                  <c:v>4.5</c:v>
                </c:pt>
                <c:pt idx="26">
                  <c:v>4.5999999999999996</c:v>
                </c:pt>
                <c:pt idx="27">
                  <c:v>4.6999999999999993</c:v>
                </c:pt>
                <c:pt idx="28">
                  <c:v>4.7999999999999989</c:v>
                </c:pt>
                <c:pt idx="29">
                  <c:v>4.8999999999999986</c:v>
                </c:pt>
                <c:pt idx="30">
                  <c:v>4.9999999999999982</c:v>
                </c:pt>
                <c:pt idx="31">
                  <c:v>5.0999999999999979</c:v>
                </c:pt>
                <c:pt idx="32">
                  <c:v>5.1999999999999975</c:v>
                </c:pt>
                <c:pt idx="33">
                  <c:v>5.2999999999999972</c:v>
                </c:pt>
                <c:pt idx="34">
                  <c:v>5.3999999999999968</c:v>
                </c:pt>
                <c:pt idx="35">
                  <c:v>5.4999999999999964</c:v>
                </c:pt>
                <c:pt idx="36">
                  <c:v>5.5999999999999961</c:v>
                </c:pt>
                <c:pt idx="37">
                  <c:v>5.6999999999999957</c:v>
                </c:pt>
                <c:pt idx="38">
                  <c:v>5.7999999999999954</c:v>
                </c:pt>
                <c:pt idx="39">
                  <c:v>5.899999999999995</c:v>
                </c:pt>
                <c:pt idx="40">
                  <c:v>5.9999999999999947</c:v>
                </c:pt>
                <c:pt idx="41">
                  <c:v>6.0999999999999943</c:v>
                </c:pt>
                <c:pt idx="42">
                  <c:v>6.199999999999994</c:v>
                </c:pt>
                <c:pt idx="43">
                  <c:v>6.2999999999999936</c:v>
                </c:pt>
                <c:pt idx="44">
                  <c:v>6.3999999999999932</c:v>
                </c:pt>
                <c:pt idx="45">
                  <c:v>6.4999999999999929</c:v>
                </c:pt>
                <c:pt idx="46">
                  <c:v>6.5999999999999925</c:v>
                </c:pt>
                <c:pt idx="47">
                  <c:v>6.6999999999999922</c:v>
                </c:pt>
                <c:pt idx="48">
                  <c:v>6.7999999999999918</c:v>
                </c:pt>
                <c:pt idx="49">
                  <c:v>6.8999999999999915</c:v>
                </c:pt>
                <c:pt idx="50">
                  <c:v>6.9999999999999911</c:v>
                </c:pt>
                <c:pt idx="51">
                  <c:v>7.0999999999999908</c:v>
                </c:pt>
                <c:pt idx="52">
                  <c:v>7.1999999999999904</c:v>
                </c:pt>
                <c:pt idx="53">
                  <c:v>7.2999999999999901</c:v>
                </c:pt>
                <c:pt idx="54">
                  <c:v>7.3999999999999897</c:v>
                </c:pt>
                <c:pt idx="55">
                  <c:v>7.4999999999999893</c:v>
                </c:pt>
                <c:pt idx="56">
                  <c:v>7.599999999999989</c:v>
                </c:pt>
                <c:pt idx="57">
                  <c:v>7.6999999999999886</c:v>
                </c:pt>
                <c:pt idx="58">
                  <c:v>7.7999999999999883</c:v>
                </c:pt>
                <c:pt idx="59">
                  <c:v>7.8999999999999879</c:v>
                </c:pt>
                <c:pt idx="60">
                  <c:v>7.9999999999999876</c:v>
                </c:pt>
                <c:pt idx="61">
                  <c:v>8.0999999999999872</c:v>
                </c:pt>
                <c:pt idx="62">
                  <c:v>8.1999999999999869</c:v>
                </c:pt>
                <c:pt idx="63">
                  <c:v>8.2999999999999865</c:v>
                </c:pt>
                <c:pt idx="64">
                  <c:v>8.3999999999999861</c:v>
                </c:pt>
                <c:pt idx="65">
                  <c:v>8.4999999999999858</c:v>
                </c:pt>
                <c:pt idx="66">
                  <c:v>8.5999999999999854</c:v>
                </c:pt>
                <c:pt idx="67">
                  <c:v>8.6999999999999851</c:v>
                </c:pt>
                <c:pt idx="68">
                  <c:v>8.7999999999999847</c:v>
                </c:pt>
                <c:pt idx="69">
                  <c:v>8.8999999999999844</c:v>
                </c:pt>
                <c:pt idx="70">
                  <c:v>8.999999999999984</c:v>
                </c:pt>
                <c:pt idx="71">
                  <c:v>9.0999999999999837</c:v>
                </c:pt>
                <c:pt idx="72">
                  <c:v>9.1999999999999833</c:v>
                </c:pt>
                <c:pt idx="73">
                  <c:v>9.2999999999999829</c:v>
                </c:pt>
                <c:pt idx="74">
                  <c:v>9.3999999999999826</c:v>
                </c:pt>
                <c:pt idx="75">
                  <c:v>9.4999999999999822</c:v>
                </c:pt>
                <c:pt idx="76">
                  <c:v>9.5999999999999819</c:v>
                </c:pt>
                <c:pt idx="77">
                  <c:v>9.6999999999999815</c:v>
                </c:pt>
                <c:pt idx="78">
                  <c:v>9.7999999999999812</c:v>
                </c:pt>
                <c:pt idx="79">
                  <c:v>9.8999999999999808</c:v>
                </c:pt>
                <c:pt idx="80">
                  <c:v>9.9999999999999805</c:v>
                </c:pt>
                <c:pt idx="81">
                  <c:v>10.09999999999998</c:v>
                </c:pt>
                <c:pt idx="82">
                  <c:v>10.19999999999998</c:v>
                </c:pt>
                <c:pt idx="83">
                  <c:v>10.299999999999979</c:v>
                </c:pt>
                <c:pt idx="84">
                  <c:v>10.399999999999979</c:v>
                </c:pt>
                <c:pt idx="85">
                  <c:v>10.499999999999979</c:v>
                </c:pt>
                <c:pt idx="86">
                  <c:v>10.599999999999978</c:v>
                </c:pt>
                <c:pt idx="87">
                  <c:v>10.699999999999978</c:v>
                </c:pt>
                <c:pt idx="88">
                  <c:v>10.799999999999978</c:v>
                </c:pt>
                <c:pt idx="89">
                  <c:v>10.899999999999977</c:v>
                </c:pt>
                <c:pt idx="90">
                  <c:v>10.999999999999977</c:v>
                </c:pt>
                <c:pt idx="91">
                  <c:v>11.099999999999977</c:v>
                </c:pt>
                <c:pt idx="92">
                  <c:v>11.199999999999976</c:v>
                </c:pt>
                <c:pt idx="93">
                  <c:v>11.299999999999976</c:v>
                </c:pt>
                <c:pt idx="94">
                  <c:v>11.399999999999975</c:v>
                </c:pt>
                <c:pt idx="95">
                  <c:v>11.499999999999975</c:v>
                </c:pt>
                <c:pt idx="96">
                  <c:v>11.599999999999975</c:v>
                </c:pt>
                <c:pt idx="97">
                  <c:v>11.699999999999974</c:v>
                </c:pt>
                <c:pt idx="98">
                  <c:v>11.799999999999974</c:v>
                </c:pt>
                <c:pt idx="99">
                  <c:v>11.899999999999974</c:v>
                </c:pt>
                <c:pt idx="100">
                  <c:v>11.999999999999973</c:v>
                </c:pt>
              </c:numCache>
            </c:numRef>
          </c:xVal>
          <c:yVal>
            <c:numRef>
              <c:f>Polynomials!$D$288:$CZ$288</c:f>
              <c:numCache>
                <c:formatCode>General</c:formatCode>
                <c:ptCount val="101"/>
                <c:pt idx="0">
                  <c:v>2</c:v>
                </c:pt>
                <c:pt idx="1">
                  <c:v>1.3999999999999995</c:v>
                </c:pt>
                <c:pt idx="2">
                  <c:v>0.79999999999999893</c:v>
                </c:pt>
                <c:pt idx="3">
                  <c:v>0.1999999999999984</c:v>
                </c:pt>
                <c:pt idx="4">
                  <c:v>-0.40000000000000213</c:v>
                </c:pt>
                <c:pt idx="5">
                  <c:v>-1.0000000000000027</c:v>
                </c:pt>
                <c:pt idx="6">
                  <c:v>-1.6000000000000032</c:v>
                </c:pt>
                <c:pt idx="7">
                  <c:v>-2.2000000000000037</c:v>
                </c:pt>
                <c:pt idx="8">
                  <c:v>-2.8000000000000043</c:v>
                </c:pt>
                <c:pt idx="9">
                  <c:v>-3.4000000000000048</c:v>
                </c:pt>
                <c:pt idx="10">
                  <c:v>-6.9999999999999867</c:v>
                </c:pt>
                <c:pt idx="11">
                  <c:v>-5.4999999999999858</c:v>
                </c:pt>
                <c:pt idx="12">
                  <c:v>-3.999999999999984</c:v>
                </c:pt>
                <c:pt idx="13">
                  <c:v>-2.4999999999999822</c:v>
                </c:pt>
                <c:pt idx="14">
                  <c:v>-0.99999999999998135</c:v>
                </c:pt>
                <c:pt idx="15">
                  <c:v>0.50000000000001954</c:v>
                </c:pt>
                <c:pt idx="16">
                  <c:v>2.0000000000000213</c:v>
                </c:pt>
                <c:pt idx="17">
                  <c:v>3.5000000000000231</c:v>
                </c:pt>
                <c:pt idx="18">
                  <c:v>5.0000000000000249</c:v>
                </c:pt>
                <c:pt idx="19">
                  <c:v>6.5000000000000249</c:v>
                </c:pt>
                <c:pt idx="20">
                  <c:v>8.999999999999968</c:v>
                </c:pt>
                <c:pt idx="21">
                  <c:v>7.1999999999999744</c:v>
                </c:pt>
                <c:pt idx="22">
                  <c:v>5.3999999999999808</c:v>
                </c:pt>
                <c:pt idx="23">
                  <c:v>3.5999999999999872</c:v>
                </c:pt>
                <c:pt idx="24">
                  <c:v>1.7999999999999936</c:v>
                </c:pt>
                <c:pt idx="25">
                  <c:v>0</c:v>
                </c:pt>
                <c:pt idx="26">
                  <c:v>-1.7999999999999936</c:v>
                </c:pt>
                <c:pt idx="27">
                  <c:v>-3.5999999999999872</c:v>
                </c:pt>
                <c:pt idx="28">
                  <c:v>-5.3999999999999808</c:v>
                </c:pt>
                <c:pt idx="29">
                  <c:v>-7.1999999999999744</c:v>
                </c:pt>
                <c:pt idx="30">
                  <c:v>-8.999999999999968</c:v>
                </c:pt>
                <c:pt idx="31">
                  <c:v>-6.8500000000000352</c:v>
                </c:pt>
                <c:pt idx="32">
                  <c:v>-5.200000000000041</c:v>
                </c:pt>
                <c:pt idx="33">
                  <c:v>-3.5500000000000469</c:v>
                </c:pt>
                <c:pt idx="34">
                  <c:v>-1.9000000000000528</c:v>
                </c:pt>
                <c:pt idx="35">
                  <c:v>-0.25000000000005862</c:v>
                </c:pt>
                <c:pt idx="36">
                  <c:v>1.3999999999999346</c:v>
                </c:pt>
                <c:pt idx="37">
                  <c:v>3.0499999999999297</c:v>
                </c:pt>
                <c:pt idx="38">
                  <c:v>4.6999999999999247</c:v>
                </c:pt>
                <c:pt idx="39">
                  <c:v>6.3499999999999179</c:v>
                </c:pt>
                <c:pt idx="40">
                  <c:v>7.9999999999999112</c:v>
                </c:pt>
                <c:pt idx="41">
                  <c:v>2.1499999999999915</c:v>
                </c:pt>
                <c:pt idx="42">
                  <c:v>2.2999999999999909</c:v>
                </c:pt>
                <c:pt idx="43">
                  <c:v>2.4499999999999904</c:v>
                </c:pt>
                <c:pt idx="44">
                  <c:v>2.5999999999999899</c:v>
                </c:pt>
                <c:pt idx="45">
                  <c:v>2.7499999999999893</c:v>
                </c:pt>
                <c:pt idx="46">
                  <c:v>2.8999999999999888</c:v>
                </c:pt>
                <c:pt idx="47">
                  <c:v>3.0499999999999883</c:v>
                </c:pt>
                <c:pt idx="48">
                  <c:v>3.1999999999999877</c:v>
                </c:pt>
                <c:pt idx="49">
                  <c:v>3.3499999999999872</c:v>
                </c:pt>
                <c:pt idx="50">
                  <c:v>3.4999999999999867</c:v>
                </c:pt>
                <c:pt idx="51">
                  <c:v>9.6500000000002633</c:v>
                </c:pt>
                <c:pt idx="52">
                  <c:v>6.8000000000002734</c:v>
                </c:pt>
                <c:pt idx="53">
                  <c:v>3.9500000000002835</c:v>
                </c:pt>
                <c:pt idx="54">
                  <c:v>1.1000000000002927</c:v>
                </c:pt>
                <c:pt idx="55">
                  <c:v>-1.7499999999996962</c:v>
                </c:pt>
                <c:pt idx="56">
                  <c:v>-4.5999999999996852</c:v>
                </c:pt>
                <c:pt idx="57">
                  <c:v>-7.449999999999676</c:v>
                </c:pt>
                <c:pt idx="58">
                  <c:v>-10.299999999999667</c:v>
                </c:pt>
                <c:pt idx="59">
                  <c:v>-13.149999999999658</c:v>
                </c:pt>
                <c:pt idx="60">
                  <c:v>-15.999999999999645</c:v>
                </c:pt>
                <c:pt idx="61">
                  <c:v>-13.150000000000365</c:v>
                </c:pt>
                <c:pt idx="62">
                  <c:v>-10.300000000000374</c:v>
                </c:pt>
                <c:pt idx="63">
                  <c:v>-7.4500000000003848</c:v>
                </c:pt>
                <c:pt idx="64">
                  <c:v>-4.6000000000003958</c:v>
                </c:pt>
                <c:pt idx="65">
                  <c:v>-1.750000000000405</c:v>
                </c:pt>
                <c:pt idx="66">
                  <c:v>1.0999999999995858</c:v>
                </c:pt>
                <c:pt idx="67">
                  <c:v>3.9499999999995765</c:v>
                </c:pt>
                <c:pt idx="68">
                  <c:v>6.7999999999995637</c:v>
                </c:pt>
                <c:pt idx="69">
                  <c:v>9.6499999999995545</c:v>
                </c:pt>
                <c:pt idx="70">
                  <c:v>12.499999999999545</c:v>
                </c:pt>
                <c:pt idx="71">
                  <c:v>3.3500000000000245</c:v>
                </c:pt>
                <c:pt idx="72">
                  <c:v>3.200000000000025</c:v>
                </c:pt>
                <c:pt idx="73">
                  <c:v>3.0500000000000256</c:v>
                </c:pt>
                <c:pt idx="74">
                  <c:v>2.9000000000000261</c:v>
                </c:pt>
                <c:pt idx="75">
                  <c:v>2.7500000000000266</c:v>
                </c:pt>
                <c:pt idx="76">
                  <c:v>2.6000000000000272</c:v>
                </c:pt>
                <c:pt idx="77">
                  <c:v>2.4500000000000277</c:v>
                </c:pt>
                <c:pt idx="78">
                  <c:v>2.3000000000000282</c:v>
                </c:pt>
                <c:pt idx="79">
                  <c:v>2.1500000000000288</c:v>
                </c:pt>
                <c:pt idx="80">
                  <c:v>2.0000000000000293</c:v>
                </c:pt>
                <c:pt idx="81">
                  <c:v>6.3500000000003283</c:v>
                </c:pt>
                <c:pt idx="82">
                  <c:v>4.7000000000003341</c:v>
                </c:pt>
                <c:pt idx="83">
                  <c:v>3.05000000000034</c:v>
                </c:pt>
                <c:pt idx="84">
                  <c:v>1.4000000000003459</c:v>
                </c:pt>
                <c:pt idx="85">
                  <c:v>-0.24999999999964828</c:v>
                </c:pt>
                <c:pt idx="86">
                  <c:v>-1.8999999999996433</c:v>
                </c:pt>
                <c:pt idx="87">
                  <c:v>-3.5499999999996366</c:v>
                </c:pt>
                <c:pt idx="88">
                  <c:v>-5.1999999999996298</c:v>
                </c:pt>
                <c:pt idx="89">
                  <c:v>-6.8499999999996248</c:v>
                </c:pt>
                <c:pt idx="90">
                  <c:v>-8.4999999999996199</c:v>
                </c:pt>
                <c:pt idx="91">
                  <c:v>-5.100000000000211</c:v>
                </c:pt>
                <c:pt idx="92">
                  <c:v>-4.2000000000002142</c:v>
                </c:pt>
                <c:pt idx="93">
                  <c:v>-3.3000000000002174</c:v>
                </c:pt>
                <c:pt idx="94">
                  <c:v>-2.4000000000002206</c:v>
                </c:pt>
                <c:pt idx="95">
                  <c:v>-1.5000000000002238</c:v>
                </c:pt>
                <c:pt idx="96">
                  <c:v>-0.60000000000022702</c:v>
                </c:pt>
                <c:pt idx="97">
                  <c:v>0.29999999999976978</c:v>
                </c:pt>
                <c:pt idx="98">
                  <c:v>1.1999999999997666</c:v>
                </c:pt>
                <c:pt idx="99">
                  <c:v>2.0999999999997634</c:v>
                </c:pt>
                <c:pt idx="100">
                  <c:v>2.9999999999997602</c:v>
                </c:pt>
              </c:numCache>
            </c:numRef>
          </c:yVal>
          <c:smooth val="0"/>
          <c:extLst>
            <c:ext xmlns:c16="http://schemas.microsoft.com/office/drawing/2014/chart" uri="{C3380CC4-5D6E-409C-BE32-E72D297353CC}">
              <c16:uniqueId val="{00000003-E61E-4177-A167-872649000620}"/>
            </c:ext>
          </c:extLst>
        </c:ser>
        <c:dLbls>
          <c:showLegendKey val="0"/>
          <c:showVal val="0"/>
          <c:showCatName val="0"/>
          <c:showSerName val="0"/>
          <c:showPercent val="0"/>
          <c:showBubbleSize val="0"/>
        </c:dLbls>
        <c:axId val="849836048"/>
        <c:axId val="849836528"/>
      </c:scatterChart>
      <c:valAx>
        <c:axId val="849836048"/>
        <c:scaling>
          <c:orientation val="minMax"/>
          <c:max val="12"/>
          <c:min val="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528"/>
        <c:crosses val="autoZero"/>
        <c:crossBetween val="midCat"/>
      </c:valAx>
      <c:valAx>
        <c:axId val="84983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0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73148148148143E-2"/>
          <c:y val="0.13325546806649169"/>
          <c:w val="0.88659722222222226"/>
          <c:h val="0.825466899970837"/>
        </c:manualLayout>
      </c:layout>
      <c:scatterChart>
        <c:scatterStyle val="lineMarker"/>
        <c:varyColors val="0"/>
        <c:ser>
          <c:idx val="1"/>
          <c:order val="0"/>
          <c:tx>
            <c:v>Natural Cubic Spline</c:v>
          </c:tx>
          <c:spPr>
            <a:ln w="19050" cap="rnd">
              <a:solidFill>
                <a:schemeClr val="tx1"/>
              </a:solidFill>
              <a:round/>
            </a:ln>
            <a:effectLst/>
          </c:spPr>
          <c:marker>
            <c:symbol val="none"/>
          </c:marker>
          <c:xVal>
            <c:numRef>
              <c:f>Polynomials!$D$322:$CZ$322</c:f>
              <c:numCache>
                <c:formatCode>General</c:formatCode>
                <c:ptCount val="101"/>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8.75</c:v>
                </c:pt>
                <c:pt idx="36">
                  <c:v>9</c:v>
                </c:pt>
                <c:pt idx="37">
                  <c:v>9.25</c:v>
                </c:pt>
                <c:pt idx="38">
                  <c:v>9.5</c:v>
                </c:pt>
                <c:pt idx="39">
                  <c:v>9.75</c:v>
                </c:pt>
                <c:pt idx="40">
                  <c:v>10</c:v>
                </c:pt>
                <c:pt idx="41">
                  <c:v>10.25</c:v>
                </c:pt>
                <c:pt idx="42">
                  <c:v>10.5</c:v>
                </c:pt>
                <c:pt idx="43">
                  <c:v>10.75</c:v>
                </c:pt>
                <c:pt idx="44">
                  <c:v>11</c:v>
                </c:pt>
                <c:pt idx="45">
                  <c:v>11.25</c:v>
                </c:pt>
                <c:pt idx="46">
                  <c:v>11.5</c:v>
                </c:pt>
                <c:pt idx="47">
                  <c:v>11.75</c:v>
                </c:pt>
                <c:pt idx="48">
                  <c:v>12</c:v>
                </c:pt>
              </c:numCache>
            </c:numRef>
          </c:xVal>
          <c:yVal>
            <c:numRef>
              <c:f>Polynomials!$D$323:$CZ$323</c:f>
              <c:numCache>
                <c:formatCode>General</c:formatCode>
                <c:ptCount val="101"/>
                <c:pt idx="0">
                  <c:v>5.875</c:v>
                </c:pt>
                <c:pt idx="1">
                  <c:v>5.515625</c:v>
                </c:pt>
                <c:pt idx="2">
                  <c:v>5.15625</c:v>
                </c:pt>
                <c:pt idx="3">
                  <c:v>4.796875</c:v>
                </c:pt>
                <c:pt idx="4">
                  <c:v>4.4375</c:v>
                </c:pt>
                <c:pt idx="5">
                  <c:v>4.078125</c:v>
                </c:pt>
                <c:pt idx="6">
                  <c:v>3.71875</c:v>
                </c:pt>
                <c:pt idx="7">
                  <c:v>3.359375</c:v>
                </c:pt>
                <c:pt idx="8">
                  <c:v>3</c:v>
                </c:pt>
                <c:pt idx="9">
                  <c:v>2.642333984375</c:v>
                </c:pt>
                <c:pt idx="10">
                  <c:v>2.294921875</c:v>
                </c:pt>
                <c:pt idx="11">
                  <c:v>1.968017578125</c:v>
                </c:pt>
                <c:pt idx="12">
                  <c:v>1.671875</c:v>
                </c:pt>
                <c:pt idx="13">
                  <c:v>1.416748046875</c:v>
                </c:pt>
                <c:pt idx="14">
                  <c:v>1.212890625</c:v>
                </c:pt>
                <c:pt idx="15">
                  <c:v>1.070556640625</c:v>
                </c:pt>
                <c:pt idx="16">
                  <c:v>1</c:v>
                </c:pt>
                <c:pt idx="17">
                  <c:v>1.00830078125</c:v>
                </c:pt>
                <c:pt idx="18">
                  <c:v>1.08984375</c:v>
                </c:pt>
                <c:pt idx="19">
                  <c:v>1.23583984375</c:v>
                </c:pt>
                <c:pt idx="20">
                  <c:v>1.4375</c:v>
                </c:pt>
                <c:pt idx="21">
                  <c:v>1.68603515625</c:v>
                </c:pt>
                <c:pt idx="22">
                  <c:v>1.97265625</c:v>
                </c:pt>
                <c:pt idx="23">
                  <c:v>2.28857421875</c:v>
                </c:pt>
                <c:pt idx="24">
                  <c:v>2.625</c:v>
                </c:pt>
                <c:pt idx="25">
                  <c:v>2.97314453125</c:v>
                </c:pt>
                <c:pt idx="26">
                  <c:v>3.32421875</c:v>
                </c:pt>
                <c:pt idx="27">
                  <c:v>3.66943359375</c:v>
                </c:pt>
                <c:pt idx="28">
                  <c:v>4</c:v>
                </c:pt>
                <c:pt idx="29">
                  <c:v>4.30712890625</c:v>
                </c:pt>
                <c:pt idx="30">
                  <c:v>4.58203125</c:v>
                </c:pt>
                <c:pt idx="31">
                  <c:v>4.81591796875</c:v>
                </c:pt>
                <c:pt idx="32">
                  <c:v>5</c:v>
                </c:pt>
                <c:pt idx="33">
                  <c:v>5.128173828125</c:v>
                </c:pt>
                <c:pt idx="34">
                  <c:v>5.205078125</c:v>
                </c:pt>
                <c:pt idx="35">
                  <c:v>5.238037109375</c:v>
                </c:pt>
                <c:pt idx="36">
                  <c:v>5.234375</c:v>
                </c:pt>
                <c:pt idx="37">
                  <c:v>5.201416015625</c:v>
                </c:pt>
                <c:pt idx="38">
                  <c:v>5.146484375</c:v>
                </c:pt>
                <c:pt idx="39">
                  <c:v>5.076904296875</c:v>
                </c:pt>
                <c:pt idx="40">
                  <c:v>5</c:v>
                </c:pt>
                <c:pt idx="41">
                  <c:v>4.921875</c:v>
                </c:pt>
                <c:pt idx="42">
                  <c:v>4.84375</c:v>
                </c:pt>
                <c:pt idx="43">
                  <c:v>4.765625</c:v>
                </c:pt>
                <c:pt idx="44">
                  <c:v>4.6875</c:v>
                </c:pt>
                <c:pt idx="45">
                  <c:v>4.609375</c:v>
                </c:pt>
                <c:pt idx="46">
                  <c:v>4.53125</c:v>
                </c:pt>
                <c:pt idx="47">
                  <c:v>4.453125</c:v>
                </c:pt>
                <c:pt idx="48">
                  <c:v>4.375</c:v>
                </c:pt>
              </c:numCache>
            </c:numRef>
          </c:yVal>
          <c:smooth val="0"/>
          <c:extLst>
            <c:ext xmlns:c16="http://schemas.microsoft.com/office/drawing/2014/chart" uri="{C3380CC4-5D6E-409C-BE32-E72D297353CC}">
              <c16:uniqueId val="{00000000-8B75-4005-8F1A-F9A6BF7694CD}"/>
            </c:ext>
          </c:extLst>
        </c:ser>
        <c:ser>
          <c:idx val="0"/>
          <c:order val="1"/>
          <c:tx>
            <c:v>1st Derivative</c:v>
          </c:tx>
          <c:spPr>
            <a:ln w="19050" cap="rnd">
              <a:solidFill>
                <a:schemeClr val="accent1"/>
              </a:solidFill>
              <a:round/>
            </a:ln>
            <a:effectLst/>
          </c:spPr>
          <c:marker>
            <c:symbol val="square"/>
            <c:size val="5"/>
            <c:spPr>
              <a:noFill/>
              <a:ln w="9525">
                <a:solidFill>
                  <a:schemeClr val="accent1"/>
                </a:solidFill>
              </a:ln>
              <a:effectLst/>
            </c:spPr>
          </c:marker>
          <c:xVal>
            <c:numRef>
              <c:f>Polynomials!$D$322:$CZ$322</c:f>
              <c:numCache>
                <c:formatCode>General</c:formatCode>
                <c:ptCount val="101"/>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8.75</c:v>
                </c:pt>
                <c:pt idx="36">
                  <c:v>9</c:v>
                </c:pt>
                <c:pt idx="37">
                  <c:v>9.25</c:v>
                </c:pt>
                <c:pt idx="38">
                  <c:v>9.5</c:v>
                </c:pt>
                <c:pt idx="39">
                  <c:v>9.75</c:v>
                </c:pt>
                <c:pt idx="40">
                  <c:v>10</c:v>
                </c:pt>
                <c:pt idx="41">
                  <c:v>10.25</c:v>
                </c:pt>
                <c:pt idx="42">
                  <c:v>10.5</c:v>
                </c:pt>
                <c:pt idx="43">
                  <c:v>10.75</c:v>
                </c:pt>
                <c:pt idx="44">
                  <c:v>11</c:v>
                </c:pt>
                <c:pt idx="45">
                  <c:v>11.25</c:v>
                </c:pt>
                <c:pt idx="46">
                  <c:v>11.5</c:v>
                </c:pt>
                <c:pt idx="47">
                  <c:v>11.75</c:v>
                </c:pt>
                <c:pt idx="48">
                  <c:v>12</c:v>
                </c:pt>
              </c:numCache>
            </c:numRef>
          </c:xVal>
          <c:yVal>
            <c:numRef>
              <c:f>Polynomials!$D$324:$CZ$324</c:f>
              <c:numCache>
                <c:formatCode>General</c:formatCode>
                <c:ptCount val="101"/>
                <c:pt idx="0">
                  <c:v>#N/A</c:v>
                </c:pt>
                <c:pt idx="1">
                  <c:v>#N/A</c:v>
                </c:pt>
                <c:pt idx="2">
                  <c:v>#N/A</c:v>
                </c:pt>
                <c:pt idx="3">
                  <c:v>#N/A</c:v>
                </c:pt>
                <c:pt idx="4">
                  <c:v>#N/A</c:v>
                </c:pt>
                <c:pt idx="5">
                  <c:v>#N/A</c:v>
                </c:pt>
                <c:pt idx="6">
                  <c:v>#N/A</c:v>
                </c:pt>
                <c:pt idx="7">
                  <c:v>#N/A</c:v>
                </c:pt>
                <c:pt idx="8">
                  <c:v>-1.4375</c:v>
                </c:pt>
                <c:pt idx="9">
                  <c:v>-1.4169921875</c:v>
                </c:pt>
                <c:pt idx="10">
                  <c:v>-1.35546875</c:v>
                </c:pt>
                <c:pt idx="11">
                  <c:v>-1.2529296875</c:v>
                </c:pt>
                <c:pt idx="12">
                  <c:v>-1.109375</c:v>
                </c:pt>
                <c:pt idx="13">
                  <c:v>-0.9248046875</c:v>
                </c:pt>
                <c:pt idx="14">
                  <c:v>-0.69921875</c:v>
                </c:pt>
                <c:pt idx="15">
                  <c:v>-0.4326171875</c:v>
                </c:pt>
                <c:pt idx="16">
                  <c:v>-0.125</c:v>
                </c:pt>
                <c:pt idx="17">
                  <c:v>0.185546875</c:v>
                </c:pt>
                <c:pt idx="18">
                  <c:v>0.4609375</c:v>
                </c:pt>
                <c:pt idx="19">
                  <c:v>0.701171875</c:v>
                </c:pt>
                <c:pt idx="20">
                  <c:v>0.90625</c:v>
                </c:pt>
                <c:pt idx="21">
                  <c:v>1.076171875</c:v>
                </c:pt>
                <c:pt idx="22">
                  <c:v>1.2109375</c:v>
                </c:pt>
                <c:pt idx="23">
                  <c:v>1.310546875</c:v>
                </c:pt>
                <c:pt idx="24">
                  <c:v>1.375</c:v>
                </c:pt>
                <c:pt idx="25">
                  <c:v>1.404296875</c:v>
                </c:pt>
                <c:pt idx="26">
                  <c:v>1.3984375</c:v>
                </c:pt>
                <c:pt idx="27">
                  <c:v>1.357421875</c:v>
                </c:pt>
                <c:pt idx="28">
                  <c:v>1.28125</c:v>
                </c:pt>
                <c:pt idx="29">
                  <c:v>1.169921875</c:v>
                </c:pt>
                <c:pt idx="30">
                  <c:v>1.0234375</c:v>
                </c:pt>
                <c:pt idx="31">
                  <c:v>0.841796875</c:v>
                </c:pt>
                <c:pt idx="32">
                  <c:v>0.625</c:v>
                </c:pt>
                <c:pt idx="33">
                  <c:v>0.4052734375</c:v>
                </c:pt>
                <c:pt idx="34">
                  <c:v>0.21484375</c:v>
                </c:pt>
                <c:pt idx="35">
                  <c:v>5.37109375E-2</c:v>
                </c:pt>
                <c:pt idx="36">
                  <c:v>-7.8125E-2</c:v>
                </c:pt>
                <c:pt idx="37">
                  <c:v>-0.1806640625</c:v>
                </c:pt>
                <c:pt idx="38">
                  <c:v>-0.25390625</c:v>
                </c:pt>
                <c:pt idx="39">
                  <c:v>-0.2978515625</c:v>
                </c:pt>
                <c:pt idx="40">
                  <c:v>-0.3125</c:v>
                </c:pt>
                <c:pt idx="41">
                  <c:v>#N/A</c:v>
                </c:pt>
                <c:pt idx="42">
                  <c:v>#N/A</c:v>
                </c:pt>
                <c:pt idx="43">
                  <c:v>#N/A</c:v>
                </c:pt>
                <c:pt idx="44">
                  <c:v>#N/A</c:v>
                </c:pt>
                <c:pt idx="45">
                  <c:v>#N/A</c:v>
                </c:pt>
                <c:pt idx="46">
                  <c:v>#N/A</c:v>
                </c:pt>
                <c:pt idx="47">
                  <c:v>#N/A</c:v>
                </c:pt>
                <c:pt idx="48">
                  <c:v>#N/A</c:v>
                </c:pt>
              </c:numCache>
            </c:numRef>
          </c:yVal>
          <c:smooth val="0"/>
          <c:extLst>
            <c:ext xmlns:c16="http://schemas.microsoft.com/office/drawing/2014/chart" uri="{C3380CC4-5D6E-409C-BE32-E72D297353CC}">
              <c16:uniqueId val="{00000001-8B75-4005-8F1A-F9A6BF7694CD}"/>
            </c:ext>
          </c:extLst>
        </c:ser>
        <c:ser>
          <c:idx val="2"/>
          <c:order val="2"/>
          <c:tx>
            <c:v>2nd Derivative</c:v>
          </c:tx>
          <c:spPr>
            <a:ln w="19050" cap="rnd">
              <a:solidFill>
                <a:schemeClr val="accent4"/>
              </a:solidFill>
              <a:round/>
            </a:ln>
            <a:effectLst/>
          </c:spPr>
          <c:marker>
            <c:symbol val="circle"/>
            <c:size val="5"/>
            <c:spPr>
              <a:noFill/>
              <a:ln w="9525">
                <a:solidFill>
                  <a:schemeClr val="accent4"/>
                </a:solidFill>
              </a:ln>
              <a:effectLst/>
            </c:spPr>
          </c:marker>
          <c:xVal>
            <c:numRef>
              <c:f>Polynomials!$D$322:$CZ$322</c:f>
              <c:numCache>
                <c:formatCode>General</c:formatCode>
                <c:ptCount val="101"/>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8.75</c:v>
                </c:pt>
                <c:pt idx="36">
                  <c:v>9</c:v>
                </c:pt>
                <c:pt idx="37">
                  <c:v>9.25</c:v>
                </c:pt>
                <c:pt idx="38">
                  <c:v>9.5</c:v>
                </c:pt>
                <c:pt idx="39">
                  <c:v>9.75</c:v>
                </c:pt>
                <c:pt idx="40">
                  <c:v>10</c:v>
                </c:pt>
                <c:pt idx="41">
                  <c:v>10.25</c:v>
                </c:pt>
                <c:pt idx="42">
                  <c:v>10.5</c:v>
                </c:pt>
                <c:pt idx="43">
                  <c:v>10.75</c:v>
                </c:pt>
                <c:pt idx="44">
                  <c:v>11</c:v>
                </c:pt>
                <c:pt idx="45">
                  <c:v>11.25</c:v>
                </c:pt>
                <c:pt idx="46">
                  <c:v>11.5</c:v>
                </c:pt>
                <c:pt idx="47">
                  <c:v>11.75</c:v>
                </c:pt>
                <c:pt idx="48">
                  <c:v>12</c:v>
                </c:pt>
              </c:numCache>
            </c:numRef>
          </c:xVal>
          <c:yVal>
            <c:numRef>
              <c:f>Polynomials!$D$325:$CZ$325</c:f>
              <c:numCache>
                <c:formatCode>General</c:formatCode>
                <c:ptCount val="101"/>
                <c:pt idx="0">
                  <c:v>#N/A</c:v>
                </c:pt>
                <c:pt idx="1">
                  <c:v>#N/A</c:v>
                </c:pt>
                <c:pt idx="2">
                  <c:v>#N/A</c:v>
                </c:pt>
                <c:pt idx="3">
                  <c:v>#N/A</c:v>
                </c:pt>
                <c:pt idx="4">
                  <c:v>#N/A</c:v>
                </c:pt>
                <c:pt idx="5">
                  <c:v>#N/A</c:v>
                </c:pt>
                <c:pt idx="6">
                  <c:v>#N/A</c:v>
                </c:pt>
                <c:pt idx="7">
                  <c:v>#N/A</c:v>
                </c:pt>
                <c:pt idx="8">
                  <c:v>0</c:v>
                </c:pt>
                <c:pt idx="9">
                  <c:v>0.1640625</c:v>
                </c:pt>
                <c:pt idx="10">
                  <c:v>0.328125</c:v>
                </c:pt>
                <c:pt idx="11">
                  <c:v>0.4921875</c:v>
                </c:pt>
                <c:pt idx="12">
                  <c:v>0.65625</c:v>
                </c:pt>
                <c:pt idx="13">
                  <c:v>0.8203125</c:v>
                </c:pt>
                <c:pt idx="14">
                  <c:v>0.984375</c:v>
                </c:pt>
                <c:pt idx="15">
                  <c:v>1.1484375</c:v>
                </c:pt>
                <c:pt idx="16">
                  <c:v>1.3125</c:v>
                </c:pt>
                <c:pt idx="17">
                  <c:v>1.171875</c:v>
                </c:pt>
                <c:pt idx="18">
                  <c:v>1.03125</c:v>
                </c:pt>
                <c:pt idx="19">
                  <c:v>0.890625</c:v>
                </c:pt>
                <c:pt idx="20">
                  <c:v>0.75</c:v>
                </c:pt>
                <c:pt idx="21">
                  <c:v>0.609375</c:v>
                </c:pt>
                <c:pt idx="22">
                  <c:v>0.46875</c:v>
                </c:pt>
                <c:pt idx="23">
                  <c:v>0.328125</c:v>
                </c:pt>
                <c:pt idx="24">
                  <c:v>0.1875</c:v>
                </c:pt>
                <c:pt idx="25">
                  <c:v>4.6875E-2</c:v>
                </c:pt>
                <c:pt idx="26">
                  <c:v>-9.375E-2</c:v>
                </c:pt>
                <c:pt idx="27">
                  <c:v>-0.234375</c:v>
                </c:pt>
                <c:pt idx="28">
                  <c:v>-0.375</c:v>
                </c:pt>
                <c:pt idx="29">
                  <c:v>-0.515625</c:v>
                </c:pt>
                <c:pt idx="30">
                  <c:v>-0.65625</c:v>
                </c:pt>
                <c:pt idx="31">
                  <c:v>-0.796875</c:v>
                </c:pt>
                <c:pt idx="32">
                  <c:v>-0.9375</c:v>
                </c:pt>
                <c:pt idx="33">
                  <c:v>-0.8203125</c:v>
                </c:pt>
                <c:pt idx="34">
                  <c:v>-0.703125</c:v>
                </c:pt>
                <c:pt idx="35">
                  <c:v>-0.5859375</c:v>
                </c:pt>
                <c:pt idx="36">
                  <c:v>-0.46875</c:v>
                </c:pt>
                <c:pt idx="37">
                  <c:v>-0.3515625</c:v>
                </c:pt>
                <c:pt idx="38">
                  <c:v>-0.234375</c:v>
                </c:pt>
                <c:pt idx="39">
                  <c:v>-0.1171875</c:v>
                </c:pt>
                <c:pt idx="40">
                  <c:v>0</c:v>
                </c:pt>
                <c:pt idx="41">
                  <c:v>#N/A</c:v>
                </c:pt>
                <c:pt idx="42">
                  <c:v>#N/A</c:v>
                </c:pt>
                <c:pt idx="43">
                  <c:v>#N/A</c:v>
                </c:pt>
                <c:pt idx="44">
                  <c:v>#N/A</c:v>
                </c:pt>
                <c:pt idx="45">
                  <c:v>#N/A</c:v>
                </c:pt>
                <c:pt idx="46">
                  <c:v>#N/A</c:v>
                </c:pt>
                <c:pt idx="47">
                  <c:v>#N/A</c:v>
                </c:pt>
                <c:pt idx="48">
                  <c:v>#N/A</c:v>
                </c:pt>
              </c:numCache>
            </c:numRef>
          </c:yVal>
          <c:smooth val="0"/>
          <c:extLst>
            <c:ext xmlns:c16="http://schemas.microsoft.com/office/drawing/2014/chart" uri="{C3380CC4-5D6E-409C-BE32-E72D297353CC}">
              <c16:uniqueId val="{0000000E-8B75-4005-8F1A-F9A6BF7694CD}"/>
            </c:ext>
          </c:extLst>
        </c:ser>
        <c:ser>
          <c:idx val="3"/>
          <c:order val="3"/>
          <c:tx>
            <c:v>Control Points</c:v>
          </c:tx>
          <c:spPr>
            <a:ln w="19050" cap="rnd">
              <a:noFill/>
              <a:round/>
            </a:ln>
            <a:effectLst/>
          </c:spPr>
          <c:marker>
            <c:symbol val="circle"/>
            <c:size val="8"/>
            <c:spPr>
              <a:noFill/>
              <a:ln w="25400">
                <a:solidFill>
                  <a:schemeClr val="accent2"/>
                </a:solidFill>
              </a:ln>
              <a:effectLst/>
            </c:spPr>
          </c:marker>
          <c:xVal>
            <c:numRef>
              <c:f>Polynomials!$C$316:$C$319</c:f>
              <c:numCache>
                <c:formatCode>General</c:formatCode>
                <c:ptCount val="4"/>
                <c:pt idx="0">
                  <c:v>2</c:v>
                </c:pt>
                <c:pt idx="1">
                  <c:v>4</c:v>
                </c:pt>
                <c:pt idx="2">
                  <c:v>8</c:v>
                </c:pt>
                <c:pt idx="3">
                  <c:v>10</c:v>
                </c:pt>
              </c:numCache>
            </c:numRef>
          </c:xVal>
          <c:yVal>
            <c:numRef>
              <c:f>Polynomials!$D$316:$D$319</c:f>
              <c:numCache>
                <c:formatCode>General</c:formatCode>
                <c:ptCount val="4"/>
                <c:pt idx="0">
                  <c:v>3</c:v>
                </c:pt>
                <c:pt idx="1">
                  <c:v>1</c:v>
                </c:pt>
                <c:pt idx="2">
                  <c:v>5</c:v>
                </c:pt>
                <c:pt idx="3">
                  <c:v>5</c:v>
                </c:pt>
              </c:numCache>
            </c:numRef>
          </c:yVal>
          <c:smooth val="0"/>
          <c:extLst>
            <c:ext xmlns:c16="http://schemas.microsoft.com/office/drawing/2014/chart" uri="{C3380CC4-5D6E-409C-BE32-E72D297353CC}">
              <c16:uniqueId val="{0000000F-8B75-4005-8F1A-F9A6BF7694CD}"/>
            </c:ext>
          </c:extLst>
        </c:ser>
        <c:dLbls>
          <c:showLegendKey val="0"/>
          <c:showVal val="0"/>
          <c:showCatName val="0"/>
          <c:showSerName val="0"/>
          <c:showPercent val="0"/>
          <c:showBubbleSize val="0"/>
        </c:dLbls>
        <c:axId val="849836048"/>
        <c:axId val="849836528"/>
      </c:scatterChart>
      <c:valAx>
        <c:axId val="849836048"/>
        <c:scaling>
          <c:orientation val="minMax"/>
          <c:max val="1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528"/>
        <c:crosses val="autoZero"/>
        <c:crossBetween val="midCat"/>
      </c:valAx>
      <c:valAx>
        <c:axId val="84983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048"/>
        <c:crosses val="autoZero"/>
        <c:crossBetween val="midCat"/>
      </c:valAx>
      <c:spPr>
        <a:noFill/>
        <a:ln>
          <a:noFill/>
        </a:ln>
        <a:effectLst/>
      </c:spPr>
    </c:plotArea>
    <c:legend>
      <c:legendPos val="t"/>
      <c:layout>
        <c:manualLayout>
          <c:xMode val="edge"/>
          <c:yMode val="edge"/>
          <c:x val="2.9408719743365418E-2"/>
          <c:y val="2.2222222222222223E-2"/>
          <c:w val="0.95738626421697304"/>
          <c:h val="8.457042869641294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73148148148143E-2"/>
          <c:y val="0.13325546806649169"/>
          <c:w val="0.88659722222222226"/>
          <c:h val="0.825466899970837"/>
        </c:manualLayout>
      </c:layout>
      <c:scatterChart>
        <c:scatterStyle val="lineMarker"/>
        <c:varyColors val="0"/>
        <c:ser>
          <c:idx val="1"/>
          <c:order val="0"/>
          <c:tx>
            <c:v>Spline</c:v>
          </c:tx>
          <c:spPr>
            <a:ln w="19050" cap="rnd">
              <a:solidFill>
                <a:schemeClr val="tx1"/>
              </a:solidFill>
              <a:round/>
            </a:ln>
            <a:effectLst/>
          </c:spPr>
          <c:marker>
            <c:symbol val="none"/>
          </c:marker>
          <c:xVal>
            <c:numRef>
              <c:f>Polynomials!$D$362:$CV$362</c:f>
              <c:numCache>
                <c:formatCode>General</c:formatCode>
                <c:ptCount val="97"/>
                <c:pt idx="0">
                  <c:v>2</c:v>
                </c:pt>
                <c:pt idx="1">
                  <c:v>2.1041666666666665</c:v>
                </c:pt>
                <c:pt idx="2">
                  <c:v>2.208333333333333</c:v>
                </c:pt>
                <c:pt idx="3">
                  <c:v>2.3124999999999996</c:v>
                </c:pt>
                <c:pt idx="4">
                  <c:v>2.4166666666666661</c:v>
                </c:pt>
                <c:pt idx="5">
                  <c:v>2.5208333333333326</c:v>
                </c:pt>
                <c:pt idx="6">
                  <c:v>2.6249999999999991</c:v>
                </c:pt>
                <c:pt idx="7">
                  <c:v>2.7291666666666656</c:v>
                </c:pt>
                <c:pt idx="8">
                  <c:v>2.8333333333333321</c:v>
                </c:pt>
                <c:pt idx="9">
                  <c:v>2.9374999999999987</c:v>
                </c:pt>
                <c:pt idx="10">
                  <c:v>3.0416666666666652</c:v>
                </c:pt>
                <c:pt idx="11">
                  <c:v>3.1458333333333317</c:v>
                </c:pt>
                <c:pt idx="12">
                  <c:v>3.2499999999999982</c:v>
                </c:pt>
                <c:pt idx="13">
                  <c:v>3.3541666666666647</c:v>
                </c:pt>
                <c:pt idx="14">
                  <c:v>3.4583333333333313</c:v>
                </c:pt>
                <c:pt idx="15">
                  <c:v>3.5624999999999978</c:v>
                </c:pt>
                <c:pt idx="16">
                  <c:v>3.6666666666666643</c:v>
                </c:pt>
                <c:pt idx="17">
                  <c:v>3.7708333333333308</c:v>
                </c:pt>
                <c:pt idx="18">
                  <c:v>3.8749999999999973</c:v>
                </c:pt>
                <c:pt idx="19">
                  <c:v>3.9791666666666639</c:v>
                </c:pt>
                <c:pt idx="20">
                  <c:v>4.0833333333333304</c:v>
                </c:pt>
                <c:pt idx="21">
                  <c:v>4.1874999999999973</c:v>
                </c:pt>
                <c:pt idx="22">
                  <c:v>4.2916666666666643</c:v>
                </c:pt>
                <c:pt idx="23">
                  <c:v>4.3958333333333313</c:v>
                </c:pt>
                <c:pt idx="24">
                  <c:v>4.4999999999999982</c:v>
                </c:pt>
                <c:pt idx="25">
                  <c:v>4.6041666666666652</c:v>
                </c:pt>
                <c:pt idx="26">
                  <c:v>4.7083333333333321</c:v>
                </c:pt>
                <c:pt idx="27">
                  <c:v>4.8124999999999991</c:v>
                </c:pt>
                <c:pt idx="28">
                  <c:v>4.9166666666666661</c:v>
                </c:pt>
                <c:pt idx="29">
                  <c:v>5.020833333333333</c:v>
                </c:pt>
                <c:pt idx="30">
                  <c:v>5.125</c:v>
                </c:pt>
                <c:pt idx="31">
                  <c:v>5.229166666666667</c:v>
                </c:pt>
                <c:pt idx="32">
                  <c:v>5.3333333333333339</c:v>
                </c:pt>
                <c:pt idx="33">
                  <c:v>5.4375000000000009</c:v>
                </c:pt>
                <c:pt idx="34">
                  <c:v>5.5416666666666679</c:v>
                </c:pt>
                <c:pt idx="35">
                  <c:v>5.6458333333333348</c:v>
                </c:pt>
                <c:pt idx="36">
                  <c:v>5.7500000000000018</c:v>
                </c:pt>
                <c:pt idx="37">
                  <c:v>5.8541666666666687</c:v>
                </c:pt>
                <c:pt idx="38">
                  <c:v>5.9583333333333357</c:v>
                </c:pt>
                <c:pt idx="39">
                  <c:v>6.0625000000000027</c:v>
                </c:pt>
                <c:pt idx="40">
                  <c:v>6.1666666666666696</c:v>
                </c:pt>
                <c:pt idx="41">
                  <c:v>6.2708333333333366</c:v>
                </c:pt>
                <c:pt idx="42">
                  <c:v>6.3750000000000036</c:v>
                </c:pt>
                <c:pt idx="43">
                  <c:v>6.4791666666666705</c:v>
                </c:pt>
                <c:pt idx="44">
                  <c:v>6.5833333333333375</c:v>
                </c:pt>
                <c:pt idx="45">
                  <c:v>6.6875000000000044</c:v>
                </c:pt>
                <c:pt idx="46">
                  <c:v>6.7916666666666714</c:v>
                </c:pt>
                <c:pt idx="47">
                  <c:v>6.8958333333333384</c:v>
                </c:pt>
                <c:pt idx="48">
                  <c:v>7.0000000000000053</c:v>
                </c:pt>
                <c:pt idx="49">
                  <c:v>7.1041666666666723</c:v>
                </c:pt>
                <c:pt idx="50">
                  <c:v>7.2083333333333393</c:v>
                </c:pt>
                <c:pt idx="51">
                  <c:v>7.3125000000000062</c:v>
                </c:pt>
                <c:pt idx="52">
                  <c:v>7.4166666666666732</c:v>
                </c:pt>
                <c:pt idx="53">
                  <c:v>7.5208333333333401</c:v>
                </c:pt>
                <c:pt idx="54">
                  <c:v>7.6250000000000071</c:v>
                </c:pt>
                <c:pt idx="55">
                  <c:v>7.7291666666666741</c:v>
                </c:pt>
                <c:pt idx="56">
                  <c:v>7.833333333333341</c:v>
                </c:pt>
                <c:pt idx="57">
                  <c:v>7.937500000000008</c:v>
                </c:pt>
                <c:pt idx="58">
                  <c:v>8.041666666666675</c:v>
                </c:pt>
                <c:pt idx="59">
                  <c:v>8.145833333333341</c:v>
                </c:pt>
                <c:pt idx="60">
                  <c:v>8.2500000000000071</c:v>
                </c:pt>
                <c:pt idx="61">
                  <c:v>8.3541666666666732</c:v>
                </c:pt>
                <c:pt idx="62">
                  <c:v>8.4583333333333393</c:v>
                </c:pt>
                <c:pt idx="63">
                  <c:v>8.5625000000000053</c:v>
                </c:pt>
                <c:pt idx="64">
                  <c:v>8.6666666666666714</c:v>
                </c:pt>
                <c:pt idx="65">
                  <c:v>8.7708333333333375</c:v>
                </c:pt>
                <c:pt idx="66">
                  <c:v>8.8750000000000036</c:v>
                </c:pt>
                <c:pt idx="67">
                  <c:v>8.9791666666666696</c:v>
                </c:pt>
                <c:pt idx="68">
                  <c:v>9.0833333333333357</c:v>
                </c:pt>
                <c:pt idx="69">
                  <c:v>9.1875000000000018</c:v>
                </c:pt>
                <c:pt idx="70">
                  <c:v>9.2916666666666679</c:v>
                </c:pt>
                <c:pt idx="71">
                  <c:v>9.3958333333333339</c:v>
                </c:pt>
                <c:pt idx="72">
                  <c:v>9.5</c:v>
                </c:pt>
                <c:pt idx="73">
                  <c:v>9.6041666666666661</c:v>
                </c:pt>
                <c:pt idx="74">
                  <c:v>9.7083333333333321</c:v>
                </c:pt>
                <c:pt idx="75">
                  <c:v>9.8124999999999982</c:v>
                </c:pt>
                <c:pt idx="76">
                  <c:v>9.9166666666666643</c:v>
                </c:pt>
                <c:pt idx="77">
                  <c:v>10.02083333333333</c:v>
                </c:pt>
                <c:pt idx="78">
                  <c:v>10.124999999999996</c:v>
                </c:pt>
                <c:pt idx="79">
                  <c:v>10.229166666666663</c:v>
                </c:pt>
                <c:pt idx="80">
                  <c:v>10.333333333333329</c:v>
                </c:pt>
                <c:pt idx="81">
                  <c:v>10.437499999999995</c:v>
                </c:pt>
                <c:pt idx="82">
                  <c:v>10.541666666666661</c:v>
                </c:pt>
                <c:pt idx="83">
                  <c:v>10.645833333333327</c:v>
                </c:pt>
                <c:pt idx="84">
                  <c:v>10.749999999999993</c:v>
                </c:pt>
                <c:pt idx="85">
                  <c:v>10.854166666666659</c:v>
                </c:pt>
                <c:pt idx="86">
                  <c:v>10.958333333333325</c:v>
                </c:pt>
                <c:pt idx="87">
                  <c:v>11.062499999999991</c:v>
                </c:pt>
                <c:pt idx="88">
                  <c:v>11.166666666666657</c:v>
                </c:pt>
                <c:pt idx="89">
                  <c:v>11.270833333333323</c:v>
                </c:pt>
                <c:pt idx="90">
                  <c:v>11.374999999999989</c:v>
                </c:pt>
                <c:pt idx="91">
                  <c:v>11.479166666666655</c:v>
                </c:pt>
                <c:pt idx="92">
                  <c:v>11.583333333333321</c:v>
                </c:pt>
                <c:pt idx="93">
                  <c:v>11.687499999999988</c:v>
                </c:pt>
                <c:pt idx="94">
                  <c:v>11.791666666666654</c:v>
                </c:pt>
                <c:pt idx="95">
                  <c:v>11.89583333333332</c:v>
                </c:pt>
                <c:pt idx="96">
                  <c:v>11.999999999999986</c:v>
                </c:pt>
              </c:numCache>
            </c:numRef>
          </c:xVal>
          <c:yVal>
            <c:numRef>
              <c:f>Polynomials!$D$363:$CV$363</c:f>
              <c:numCache>
                <c:formatCode>General</c:formatCode>
                <c:ptCount val="97"/>
                <c:pt idx="0">
                  <c:v>4</c:v>
                </c:pt>
                <c:pt idx="1">
                  <c:v>3.9087567137590269</c:v>
                </c:pt>
                <c:pt idx="2">
                  <c:v>3.817302513899965</c:v>
                </c:pt>
                <c:pt idx="3">
                  <c:v>3.7254264868047251</c:v>
                </c:pt>
                <c:pt idx="4">
                  <c:v>3.6329177188552193</c:v>
                </c:pt>
                <c:pt idx="5">
                  <c:v>3.5395652964333584</c:v>
                </c:pt>
                <c:pt idx="6">
                  <c:v>3.4451583059210535</c:v>
                </c:pt>
                <c:pt idx="7">
                  <c:v>3.349485833700216</c:v>
                </c:pt>
                <c:pt idx="8">
                  <c:v>3.2523369661527566</c:v>
                </c:pt>
                <c:pt idx="9">
                  <c:v>3.1535007896605873</c:v>
                </c:pt>
                <c:pt idx="10">
                  <c:v>3.0527663906056191</c:v>
                </c:pt>
                <c:pt idx="11">
                  <c:v>2.949922855369763</c:v>
                </c:pt>
                <c:pt idx="12">
                  <c:v>2.8447592703349303</c:v>
                </c:pt>
                <c:pt idx="13">
                  <c:v>2.7370647218830322</c:v>
                </c:pt>
                <c:pt idx="14">
                  <c:v>2.6266282963959799</c:v>
                </c:pt>
                <c:pt idx="15">
                  <c:v>2.5132390802556843</c:v>
                </c:pt>
                <c:pt idx="16">
                  <c:v>2.3966861598440579</c:v>
                </c:pt>
                <c:pt idx="17">
                  <c:v>2.27675862154301</c:v>
                </c:pt>
                <c:pt idx="18">
                  <c:v>2.1532455517344533</c:v>
                </c:pt>
                <c:pt idx="19">
                  <c:v>2.0259360368002985</c:v>
                </c:pt>
                <c:pt idx="20">
                  <c:v>1.8947994888578807</c:v>
                </c:pt>
                <c:pt idx="21">
                  <c:v>1.7611380399129071</c:v>
                </c:pt>
                <c:pt idx="22">
                  <c:v>1.6268511509696779</c:v>
                </c:pt>
                <c:pt idx="23">
                  <c:v>1.4938411006221093</c:v>
                </c:pt>
                <c:pt idx="24">
                  <c:v>1.3640101674641172</c:v>
                </c:pt>
                <c:pt idx="25">
                  <c:v>1.2392606300896181</c:v>
                </c:pt>
                <c:pt idx="26">
                  <c:v>1.1214947670925275</c:v>
                </c:pt>
                <c:pt idx="27">
                  <c:v>1.0126148570667626</c:v>
                </c:pt>
                <c:pt idx="28">
                  <c:v>0.91452317860623866</c:v>
                </c:pt>
                <c:pt idx="29">
                  <c:v>0.8291220103048722</c:v>
                </c:pt>
                <c:pt idx="30">
                  <c:v>0.7583136307565792</c:v>
                </c:pt>
                <c:pt idx="31">
                  <c:v>0.70400031855527612</c:v>
                </c:pt>
                <c:pt idx="32">
                  <c:v>0.66808435229487895</c:v>
                </c:pt>
                <c:pt idx="33">
                  <c:v>0.65246801056930348</c:v>
                </c:pt>
                <c:pt idx="34">
                  <c:v>0.65905357197246661</c:v>
                </c:pt>
                <c:pt idx="35">
                  <c:v>0.68974331509828346</c:v>
                </c:pt>
                <c:pt idx="36">
                  <c:v>0.74643951854067159</c:v>
                </c:pt>
                <c:pt idx="37">
                  <c:v>0.83104446089354567</c:v>
                </c:pt>
                <c:pt idx="38">
                  <c:v>0.94546042075082282</c:v>
                </c:pt>
                <c:pt idx="39">
                  <c:v>1.0913769297622649</c:v>
                </c:pt>
                <c:pt idx="40">
                  <c:v>1.2673001949317793</c:v>
                </c:pt>
                <c:pt idx="41">
                  <c:v>1.4692858936472799</c:v>
                </c:pt>
                <c:pt idx="42">
                  <c:v>1.6933266671650797</c:v>
                </c:pt>
                <c:pt idx="43">
                  <c:v>1.9354151567414921</c:v>
                </c:pt>
                <c:pt idx="44">
                  <c:v>2.1915440036328295</c:v>
                </c:pt>
                <c:pt idx="45">
                  <c:v>2.4577058490954062</c:v>
                </c:pt>
                <c:pt idx="46">
                  <c:v>2.7298933343855341</c:v>
                </c:pt>
                <c:pt idx="47">
                  <c:v>3.004099100759527</c:v>
                </c:pt>
                <c:pt idx="48">
                  <c:v>3.2763157894736978</c:v>
                </c:pt>
                <c:pt idx="49">
                  <c:v>3.5425360417843592</c:v>
                </c:pt>
                <c:pt idx="50">
                  <c:v>3.7987524989478256</c:v>
                </c:pt>
                <c:pt idx="51">
                  <c:v>4.0409578022204089</c:v>
                </c:pt>
                <c:pt idx="52">
                  <c:v>4.2651445928584213</c:v>
                </c:pt>
                <c:pt idx="53">
                  <c:v>4.4673055121181786</c:v>
                </c:pt>
                <c:pt idx="54">
                  <c:v>4.6434332012559913</c:v>
                </c:pt>
                <c:pt idx="55">
                  <c:v>4.7895203015281744</c:v>
                </c:pt>
                <c:pt idx="56">
                  <c:v>4.9015594541910392</c:v>
                </c:pt>
                <c:pt idx="57">
                  <c:v>4.9755433005009007</c:v>
                </c:pt>
                <c:pt idx="58">
                  <c:v>5.0075494095976216</c:v>
                </c:pt>
                <c:pt idx="59">
                  <c:v>4.9969569220940881</c:v>
                </c:pt>
                <c:pt idx="60">
                  <c:v>4.9474338367224835</c:v>
                </c:pt>
                <c:pt idx="61">
                  <c:v>4.8629347838219719</c:v>
                </c:pt>
                <c:pt idx="62">
                  <c:v>4.7474143937317184</c:v>
                </c:pt>
                <c:pt idx="63">
                  <c:v>4.6048272967908863</c:v>
                </c:pt>
                <c:pt idx="64">
                  <c:v>4.4391281233386417</c:v>
                </c:pt>
                <c:pt idx="65">
                  <c:v>4.2542715037141487</c:v>
                </c:pt>
                <c:pt idx="66">
                  <c:v>4.0542120682565725</c:v>
                </c:pt>
                <c:pt idx="67">
                  <c:v>3.8429044473050764</c:v>
                </c:pt>
                <c:pt idx="68">
                  <c:v>3.6243032711988259</c:v>
                </c:pt>
                <c:pt idx="69">
                  <c:v>3.4023631702769852</c:v>
                </c:pt>
                <c:pt idx="70">
                  <c:v>3.1810387748787194</c:v>
                </c:pt>
                <c:pt idx="71">
                  <c:v>2.9642847153431928</c:v>
                </c:pt>
                <c:pt idx="72">
                  <c:v>2.7560556220095696</c:v>
                </c:pt>
                <c:pt idx="73">
                  <c:v>2.5603061252170156</c:v>
                </c:pt>
                <c:pt idx="74">
                  <c:v>2.3809908553046943</c:v>
                </c:pt>
                <c:pt idx="75">
                  <c:v>2.2220644426117708</c:v>
                </c:pt>
                <c:pt idx="76">
                  <c:v>2.0874815174774088</c:v>
                </c:pt>
                <c:pt idx="77">
                  <c:v>1.9811892525515598</c:v>
                </c:pt>
                <c:pt idx="78">
                  <c:v>1.9055537903708155</c:v>
                </c:pt>
                <c:pt idx="79">
                  <c:v>1.8594137864735636</c:v>
                </c:pt>
                <c:pt idx="80">
                  <c:v>1.8411306042884992</c:v>
                </c:pt>
                <c:pt idx="81">
                  <c:v>1.849065607244317</c:v>
                </c:pt>
                <c:pt idx="82">
                  <c:v>1.8815801587697121</c:v>
                </c:pt>
                <c:pt idx="83">
                  <c:v>1.9370356222933791</c:v>
                </c:pt>
                <c:pt idx="84">
                  <c:v>2.0137933612440131</c:v>
                </c:pt>
                <c:pt idx="85">
                  <c:v>2.110214739050309</c:v>
                </c:pt>
                <c:pt idx="86">
                  <c:v>2.2246611191409613</c:v>
                </c:pt>
                <c:pt idx="87">
                  <c:v>2.3554938649446653</c:v>
                </c:pt>
                <c:pt idx="88">
                  <c:v>2.5010743398901152</c:v>
                </c:pt>
                <c:pt idx="89">
                  <c:v>2.6597639074060071</c:v>
                </c:pt>
                <c:pt idx="90">
                  <c:v>2.8299239309210344</c:v>
                </c:pt>
                <c:pt idx="91">
                  <c:v>3.0099157738638933</c:v>
                </c:pt>
                <c:pt idx="92">
                  <c:v>3.1981007996632775</c:v>
                </c:pt>
                <c:pt idx="93">
                  <c:v>3.3928403717478828</c:v>
                </c:pt>
                <c:pt idx="94">
                  <c:v>3.5924958535464038</c:v>
                </c:pt>
                <c:pt idx="95">
                  <c:v>3.7954286084875353</c:v>
                </c:pt>
                <c:pt idx="96">
                  <c:v>3.999999999999972</c:v>
                </c:pt>
              </c:numCache>
            </c:numRef>
          </c:yVal>
          <c:smooth val="0"/>
          <c:extLst>
            <c:ext xmlns:c16="http://schemas.microsoft.com/office/drawing/2014/chart" uri="{C3380CC4-5D6E-409C-BE32-E72D297353CC}">
              <c16:uniqueId val="{00000000-D546-41CC-90EF-B0DCE05CAD3D}"/>
            </c:ext>
          </c:extLst>
        </c:ser>
        <c:ser>
          <c:idx val="0"/>
          <c:order val="1"/>
          <c:tx>
            <c:v>1st Derivative</c:v>
          </c:tx>
          <c:spPr>
            <a:ln w="19050" cap="rnd">
              <a:solidFill>
                <a:schemeClr val="accent1"/>
              </a:solidFill>
              <a:round/>
            </a:ln>
            <a:effectLst/>
          </c:spPr>
          <c:marker>
            <c:symbol val="none"/>
          </c:marker>
          <c:xVal>
            <c:numRef>
              <c:f>Polynomials!$D$362:$CV$362</c:f>
              <c:numCache>
                <c:formatCode>General</c:formatCode>
                <c:ptCount val="97"/>
                <c:pt idx="0">
                  <c:v>2</c:v>
                </c:pt>
                <c:pt idx="1">
                  <c:v>2.1041666666666665</c:v>
                </c:pt>
                <c:pt idx="2">
                  <c:v>2.208333333333333</c:v>
                </c:pt>
                <c:pt idx="3">
                  <c:v>2.3124999999999996</c:v>
                </c:pt>
                <c:pt idx="4">
                  <c:v>2.4166666666666661</c:v>
                </c:pt>
                <c:pt idx="5">
                  <c:v>2.5208333333333326</c:v>
                </c:pt>
                <c:pt idx="6">
                  <c:v>2.6249999999999991</c:v>
                </c:pt>
                <c:pt idx="7">
                  <c:v>2.7291666666666656</c:v>
                </c:pt>
                <c:pt idx="8">
                  <c:v>2.8333333333333321</c:v>
                </c:pt>
                <c:pt idx="9">
                  <c:v>2.9374999999999987</c:v>
                </c:pt>
                <c:pt idx="10">
                  <c:v>3.0416666666666652</c:v>
                </c:pt>
                <c:pt idx="11">
                  <c:v>3.1458333333333317</c:v>
                </c:pt>
                <c:pt idx="12">
                  <c:v>3.2499999999999982</c:v>
                </c:pt>
                <c:pt idx="13">
                  <c:v>3.3541666666666647</c:v>
                </c:pt>
                <c:pt idx="14">
                  <c:v>3.4583333333333313</c:v>
                </c:pt>
                <c:pt idx="15">
                  <c:v>3.5624999999999978</c:v>
                </c:pt>
                <c:pt idx="16">
                  <c:v>3.6666666666666643</c:v>
                </c:pt>
                <c:pt idx="17">
                  <c:v>3.7708333333333308</c:v>
                </c:pt>
                <c:pt idx="18">
                  <c:v>3.8749999999999973</c:v>
                </c:pt>
                <c:pt idx="19">
                  <c:v>3.9791666666666639</c:v>
                </c:pt>
                <c:pt idx="20">
                  <c:v>4.0833333333333304</c:v>
                </c:pt>
                <c:pt idx="21">
                  <c:v>4.1874999999999973</c:v>
                </c:pt>
                <c:pt idx="22">
                  <c:v>4.2916666666666643</c:v>
                </c:pt>
                <c:pt idx="23">
                  <c:v>4.3958333333333313</c:v>
                </c:pt>
                <c:pt idx="24">
                  <c:v>4.4999999999999982</c:v>
                </c:pt>
                <c:pt idx="25">
                  <c:v>4.6041666666666652</c:v>
                </c:pt>
                <c:pt idx="26">
                  <c:v>4.7083333333333321</c:v>
                </c:pt>
                <c:pt idx="27">
                  <c:v>4.8124999999999991</c:v>
                </c:pt>
                <c:pt idx="28">
                  <c:v>4.9166666666666661</c:v>
                </c:pt>
                <c:pt idx="29">
                  <c:v>5.020833333333333</c:v>
                </c:pt>
                <c:pt idx="30">
                  <c:v>5.125</c:v>
                </c:pt>
                <c:pt idx="31">
                  <c:v>5.229166666666667</c:v>
                </c:pt>
                <c:pt idx="32">
                  <c:v>5.3333333333333339</c:v>
                </c:pt>
                <c:pt idx="33">
                  <c:v>5.4375000000000009</c:v>
                </c:pt>
                <c:pt idx="34">
                  <c:v>5.5416666666666679</c:v>
                </c:pt>
                <c:pt idx="35">
                  <c:v>5.6458333333333348</c:v>
                </c:pt>
                <c:pt idx="36">
                  <c:v>5.7500000000000018</c:v>
                </c:pt>
                <c:pt idx="37">
                  <c:v>5.8541666666666687</c:v>
                </c:pt>
                <c:pt idx="38">
                  <c:v>5.9583333333333357</c:v>
                </c:pt>
                <c:pt idx="39">
                  <c:v>6.0625000000000027</c:v>
                </c:pt>
                <c:pt idx="40">
                  <c:v>6.1666666666666696</c:v>
                </c:pt>
                <c:pt idx="41">
                  <c:v>6.2708333333333366</c:v>
                </c:pt>
                <c:pt idx="42">
                  <c:v>6.3750000000000036</c:v>
                </c:pt>
                <c:pt idx="43">
                  <c:v>6.4791666666666705</c:v>
                </c:pt>
                <c:pt idx="44">
                  <c:v>6.5833333333333375</c:v>
                </c:pt>
                <c:pt idx="45">
                  <c:v>6.6875000000000044</c:v>
                </c:pt>
                <c:pt idx="46">
                  <c:v>6.7916666666666714</c:v>
                </c:pt>
                <c:pt idx="47">
                  <c:v>6.8958333333333384</c:v>
                </c:pt>
                <c:pt idx="48">
                  <c:v>7.0000000000000053</c:v>
                </c:pt>
                <c:pt idx="49">
                  <c:v>7.1041666666666723</c:v>
                </c:pt>
                <c:pt idx="50">
                  <c:v>7.2083333333333393</c:v>
                </c:pt>
                <c:pt idx="51">
                  <c:v>7.3125000000000062</c:v>
                </c:pt>
                <c:pt idx="52">
                  <c:v>7.4166666666666732</c:v>
                </c:pt>
                <c:pt idx="53">
                  <c:v>7.5208333333333401</c:v>
                </c:pt>
                <c:pt idx="54">
                  <c:v>7.6250000000000071</c:v>
                </c:pt>
                <c:pt idx="55">
                  <c:v>7.7291666666666741</c:v>
                </c:pt>
                <c:pt idx="56">
                  <c:v>7.833333333333341</c:v>
                </c:pt>
                <c:pt idx="57">
                  <c:v>7.937500000000008</c:v>
                </c:pt>
                <c:pt idx="58">
                  <c:v>8.041666666666675</c:v>
                </c:pt>
                <c:pt idx="59">
                  <c:v>8.145833333333341</c:v>
                </c:pt>
                <c:pt idx="60">
                  <c:v>8.2500000000000071</c:v>
                </c:pt>
                <c:pt idx="61">
                  <c:v>8.3541666666666732</c:v>
                </c:pt>
                <c:pt idx="62">
                  <c:v>8.4583333333333393</c:v>
                </c:pt>
                <c:pt idx="63">
                  <c:v>8.5625000000000053</c:v>
                </c:pt>
                <c:pt idx="64">
                  <c:v>8.6666666666666714</c:v>
                </c:pt>
                <c:pt idx="65">
                  <c:v>8.7708333333333375</c:v>
                </c:pt>
                <c:pt idx="66">
                  <c:v>8.8750000000000036</c:v>
                </c:pt>
                <c:pt idx="67">
                  <c:v>8.9791666666666696</c:v>
                </c:pt>
                <c:pt idx="68">
                  <c:v>9.0833333333333357</c:v>
                </c:pt>
                <c:pt idx="69">
                  <c:v>9.1875000000000018</c:v>
                </c:pt>
                <c:pt idx="70">
                  <c:v>9.2916666666666679</c:v>
                </c:pt>
                <c:pt idx="71">
                  <c:v>9.3958333333333339</c:v>
                </c:pt>
                <c:pt idx="72">
                  <c:v>9.5</c:v>
                </c:pt>
                <c:pt idx="73">
                  <c:v>9.6041666666666661</c:v>
                </c:pt>
                <c:pt idx="74">
                  <c:v>9.7083333333333321</c:v>
                </c:pt>
                <c:pt idx="75">
                  <c:v>9.8124999999999982</c:v>
                </c:pt>
                <c:pt idx="76">
                  <c:v>9.9166666666666643</c:v>
                </c:pt>
                <c:pt idx="77">
                  <c:v>10.02083333333333</c:v>
                </c:pt>
                <c:pt idx="78">
                  <c:v>10.124999999999996</c:v>
                </c:pt>
                <c:pt idx="79">
                  <c:v>10.229166666666663</c:v>
                </c:pt>
                <c:pt idx="80">
                  <c:v>10.333333333333329</c:v>
                </c:pt>
                <c:pt idx="81">
                  <c:v>10.437499999999995</c:v>
                </c:pt>
                <c:pt idx="82">
                  <c:v>10.541666666666661</c:v>
                </c:pt>
                <c:pt idx="83">
                  <c:v>10.645833333333327</c:v>
                </c:pt>
                <c:pt idx="84">
                  <c:v>10.749999999999993</c:v>
                </c:pt>
                <c:pt idx="85">
                  <c:v>10.854166666666659</c:v>
                </c:pt>
                <c:pt idx="86">
                  <c:v>10.958333333333325</c:v>
                </c:pt>
                <c:pt idx="87">
                  <c:v>11.062499999999991</c:v>
                </c:pt>
                <c:pt idx="88">
                  <c:v>11.166666666666657</c:v>
                </c:pt>
                <c:pt idx="89">
                  <c:v>11.270833333333323</c:v>
                </c:pt>
                <c:pt idx="90">
                  <c:v>11.374999999999989</c:v>
                </c:pt>
                <c:pt idx="91">
                  <c:v>11.479166666666655</c:v>
                </c:pt>
                <c:pt idx="92">
                  <c:v>11.583333333333321</c:v>
                </c:pt>
                <c:pt idx="93">
                  <c:v>11.687499999999988</c:v>
                </c:pt>
                <c:pt idx="94">
                  <c:v>11.791666666666654</c:v>
                </c:pt>
                <c:pt idx="95">
                  <c:v>11.89583333333332</c:v>
                </c:pt>
                <c:pt idx="96">
                  <c:v>11.999999999999986</c:v>
                </c:pt>
              </c:numCache>
            </c:numRef>
          </c:xVal>
          <c:yVal>
            <c:numRef>
              <c:f>Polynomials!$D$364:$CV$364</c:f>
              <c:numCache>
                <c:formatCode>General</c:formatCode>
                <c:ptCount val="97"/>
                <c:pt idx="0">
                  <c:v>-0.87559808612440182</c:v>
                </c:pt>
                <c:pt idx="1">
                  <c:v>-0.87661047149122795</c:v>
                </c:pt>
                <c:pt idx="2">
                  <c:v>-0.87964762759170645</c:v>
                </c:pt>
                <c:pt idx="3">
                  <c:v>-0.88470955442583721</c:v>
                </c:pt>
                <c:pt idx="4">
                  <c:v>-0.89179625199362023</c:v>
                </c:pt>
                <c:pt idx="5">
                  <c:v>-0.90090772029505561</c:v>
                </c:pt>
                <c:pt idx="6">
                  <c:v>-0.91204395933014337</c:v>
                </c:pt>
                <c:pt idx="7">
                  <c:v>-0.92520496909888328</c:v>
                </c:pt>
                <c:pt idx="8">
                  <c:v>-0.94039074960127556</c:v>
                </c:pt>
                <c:pt idx="9">
                  <c:v>-0.9576013008373202</c:v>
                </c:pt>
                <c:pt idx="10">
                  <c:v>-0.97683662280701711</c:v>
                </c:pt>
                <c:pt idx="11">
                  <c:v>-0.99809671551036627</c:v>
                </c:pt>
                <c:pt idx="12">
                  <c:v>-1.0213815789473677</c:v>
                </c:pt>
                <c:pt idx="13">
                  <c:v>-1.0466912131180215</c:v>
                </c:pt>
                <c:pt idx="14">
                  <c:v>-1.0740256180223278</c:v>
                </c:pt>
                <c:pt idx="15">
                  <c:v>-1.1033847936602861</c:v>
                </c:pt>
                <c:pt idx="16">
                  <c:v>-1.1347687400318969</c:v>
                </c:pt>
                <c:pt idx="17">
                  <c:v>-1.1681774571371597</c:v>
                </c:pt>
                <c:pt idx="18">
                  <c:v>-1.2036109449760752</c:v>
                </c:pt>
                <c:pt idx="19">
                  <c:v>-1.2410692035486428</c:v>
                </c:pt>
                <c:pt idx="20">
                  <c:v>-1.2740605063795845</c:v>
                </c:pt>
                <c:pt idx="21">
                  <c:v>-1.2891956676136358</c:v>
                </c:pt>
                <c:pt idx="22">
                  <c:v>-1.2860689543460926</c:v>
                </c:pt>
                <c:pt idx="23">
                  <c:v>-1.2646803665769539</c:v>
                </c:pt>
                <c:pt idx="24">
                  <c:v>-1.2250299043062207</c:v>
                </c:pt>
                <c:pt idx="25">
                  <c:v>-1.1671175675338921</c:v>
                </c:pt>
                <c:pt idx="26">
                  <c:v>-1.0909433562599689</c:v>
                </c:pt>
                <c:pt idx="27">
                  <c:v>-0.99650727048445042</c:v>
                </c:pt>
                <c:pt idx="28">
                  <c:v>-0.883809310207337</c:v>
                </c:pt>
                <c:pt idx="29">
                  <c:v>-0.75284947542862868</c:v>
                </c:pt>
                <c:pt idx="30">
                  <c:v>-0.60362776614832514</c:v>
                </c:pt>
                <c:pt idx="31">
                  <c:v>-0.43614418236642671</c:v>
                </c:pt>
                <c:pt idx="32">
                  <c:v>-0.25039872408293329</c:v>
                </c:pt>
                <c:pt idx="33">
                  <c:v>-4.6391391297844864E-2</c:v>
                </c:pt>
                <c:pt idx="34">
                  <c:v>0.17587781598883834</c:v>
                </c:pt>
                <c:pt idx="35">
                  <c:v>0.41640889777711654</c:v>
                </c:pt>
                <c:pt idx="36">
                  <c:v>0.67520185406698996</c:v>
                </c:pt>
                <c:pt idx="37">
                  <c:v>0.95225668485845882</c:v>
                </c:pt>
                <c:pt idx="38">
                  <c:v>1.2475733901515216</c:v>
                </c:pt>
                <c:pt idx="39">
                  <c:v>1.5509401166268018</c:v>
                </c:pt>
                <c:pt idx="40">
                  <c:v>1.8203748006379656</c:v>
                </c:pt>
                <c:pt idx="41">
                  <c:v>2.0513388407097355</c:v>
                </c:pt>
                <c:pt idx="42">
                  <c:v>2.2438322368421111</c:v>
                </c:pt>
                <c:pt idx="43">
                  <c:v>2.3978549890350926</c:v>
                </c:pt>
                <c:pt idx="44">
                  <c:v>2.5134070972886802</c:v>
                </c:pt>
                <c:pt idx="45">
                  <c:v>2.5904885616028732</c:v>
                </c:pt>
                <c:pt idx="46">
                  <c:v>2.6290993819776718</c:v>
                </c:pt>
                <c:pt idx="47">
                  <c:v>2.6292395584130768</c:v>
                </c:pt>
                <c:pt idx="48">
                  <c:v>2.5909090909090877</c:v>
                </c:pt>
                <c:pt idx="49">
                  <c:v>2.5141079794657042</c:v>
                </c:pt>
                <c:pt idx="50">
                  <c:v>2.3988362240829266</c:v>
                </c:pt>
                <c:pt idx="51">
                  <c:v>2.2450938247607546</c:v>
                </c:pt>
                <c:pt idx="52">
                  <c:v>2.052880781499189</c:v>
                </c:pt>
                <c:pt idx="53">
                  <c:v>1.8221970942982291</c:v>
                </c:pt>
                <c:pt idx="54">
                  <c:v>1.5530427631578745</c:v>
                </c:pt>
                <c:pt idx="55">
                  <c:v>1.2454177880781263</c:v>
                </c:pt>
                <c:pt idx="56">
                  <c:v>0.89932216905898454</c:v>
                </c:pt>
                <c:pt idx="57">
                  <c:v>0.51475590610044741</c:v>
                </c:pt>
                <c:pt idx="58">
                  <c:v>9.7833806818149183E-2</c:v>
                </c:pt>
                <c:pt idx="59">
                  <c:v>-0.29488215834332887</c:v>
                </c:pt>
                <c:pt idx="60">
                  <c:v>-0.6496336722488264</c:v>
                </c:pt>
                <c:pt idx="61">
                  <c:v>-0.96642073489834368</c:v>
                </c:pt>
                <c:pt idx="62">
                  <c:v>-1.2452433462918804</c:v>
                </c:pt>
                <c:pt idx="63">
                  <c:v>-1.4861015064294367</c:v>
                </c:pt>
                <c:pt idx="64">
                  <c:v>-1.6889952153110128</c:v>
                </c:pt>
                <c:pt idx="65">
                  <c:v>-1.8539244729366087</c:v>
                </c:pt>
                <c:pt idx="66">
                  <c:v>-1.9808892793062234</c:v>
                </c:pt>
                <c:pt idx="67">
                  <c:v>-2.0698896344198574</c:v>
                </c:pt>
                <c:pt idx="68">
                  <c:v>-2.1209255382775121</c:v>
                </c:pt>
                <c:pt idx="69">
                  <c:v>-2.1339969908791856</c:v>
                </c:pt>
                <c:pt idx="70">
                  <c:v>-2.1091039922248793</c:v>
                </c:pt>
                <c:pt idx="71">
                  <c:v>-2.0462465423145915</c:v>
                </c:pt>
                <c:pt idx="72">
                  <c:v>-1.9454246411483247</c:v>
                </c:pt>
                <c:pt idx="73">
                  <c:v>-1.8066382887260777</c:v>
                </c:pt>
                <c:pt idx="74">
                  <c:v>-1.6298874850478486</c:v>
                </c:pt>
                <c:pt idx="75">
                  <c:v>-1.4151722301136398</c:v>
                </c:pt>
                <c:pt idx="76">
                  <c:v>-1.1624925239234511</c:v>
                </c:pt>
                <c:pt idx="77">
                  <c:v>-0.87292227372409148</c:v>
                </c:pt>
                <c:pt idx="78">
                  <c:v>-0.58190041866029696</c:v>
                </c:pt>
                <c:pt idx="79">
                  <c:v>-0.3066094746810315</c:v>
                </c:pt>
                <c:pt idx="80">
                  <c:v>-4.7049441786295443E-2</c:v>
                </c:pt>
                <c:pt idx="81">
                  <c:v>0.19677968002391144</c:v>
                </c:pt>
                <c:pt idx="82">
                  <c:v>0.42487789074958848</c:v>
                </c:pt>
                <c:pt idx="83">
                  <c:v>0.63724519039073679</c:v>
                </c:pt>
                <c:pt idx="84">
                  <c:v>0.83388157894735548</c:v>
                </c:pt>
                <c:pt idx="85">
                  <c:v>1.014787056419445</c:v>
                </c:pt>
                <c:pt idx="86">
                  <c:v>1.1799616228070053</c:v>
                </c:pt>
                <c:pt idx="87">
                  <c:v>1.3294052781100356</c:v>
                </c:pt>
                <c:pt idx="88">
                  <c:v>1.4631180223285372</c:v>
                </c:pt>
                <c:pt idx="89">
                  <c:v>1.5810998554625095</c:v>
                </c:pt>
                <c:pt idx="90">
                  <c:v>1.6833507775119523</c:v>
                </c:pt>
                <c:pt idx="91">
                  <c:v>1.7698707884768659</c:v>
                </c:pt>
                <c:pt idx="92">
                  <c:v>1.8406598883572498</c:v>
                </c:pt>
                <c:pt idx="93">
                  <c:v>1.8957180771531041</c:v>
                </c:pt>
                <c:pt idx="94">
                  <c:v>1.9350453548644306</c:v>
                </c:pt>
                <c:pt idx="95">
                  <c:v>1.9586417214912262</c:v>
                </c:pt>
                <c:pt idx="96">
                  <c:v>1.9665071770334939</c:v>
                </c:pt>
              </c:numCache>
            </c:numRef>
          </c:yVal>
          <c:smooth val="0"/>
          <c:extLst>
            <c:ext xmlns:c16="http://schemas.microsoft.com/office/drawing/2014/chart" uri="{C3380CC4-5D6E-409C-BE32-E72D297353CC}">
              <c16:uniqueId val="{00000001-D546-41CC-90EF-B0DCE05CAD3D}"/>
            </c:ext>
          </c:extLst>
        </c:ser>
        <c:ser>
          <c:idx val="2"/>
          <c:order val="2"/>
          <c:tx>
            <c:v>2nd Derivative</c:v>
          </c:tx>
          <c:spPr>
            <a:ln w="19050" cap="rnd">
              <a:solidFill>
                <a:schemeClr val="accent3"/>
              </a:solidFill>
              <a:round/>
            </a:ln>
            <a:effectLst/>
          </c:spPr>
          <c:marker>
            <c:symbol val="none"/>
          </c:marker>
          <c:xVal>
            <c:numRef>
              <c:f>Polynomials!$D$362:$CV$362</c:f>
              <c:numCache>
                <c:formatCode>General</c:formatCode>
                <c:ptCount val="97"/>
                <c:pt idx="0">
                  <c:v>2</c:v>
                </c:pt>
                <c:pt idx="1">
                  <c:v>2.1041666666666665</c:v>
                </c:pt>
                <c:pt idx="2">
                  <c:v>2.208333333333333</c:v>
                </c:pt>
                <c:pt idx="3">
                  <c:v>2.3124999999999996</c:v>
                </c:pt>
                <c:pt idx="4">
                  <c:v>2.4166666666666661</c:v>
                </c:pt>
                <c:pt idx="5">
                  <c:v>2.5208333333333326</c:v>
                </c:pt>
                <c:pt idx="6">
                  <c:v>2.6249999999999991</c:v>
                </c:pt>
                <c:pt idx="7">
                  <c:v>2.7291666666666656</c:v>
                </c:pt>
                <c:pt idx="8">
                  <c:v>2.8333333333333321</c:v>
                </c:pt>
                <c:pt idx="9">
                  <c:v>2.9374999999999987</c:v>
                </c:pt>
                <c:pt idx="10">
                  <c:v>3.0416666666666652</c:v>
                </c:pt>
                <c:pt idx="11">
                  <c:v>3.1458333333333317</c:v>
                </c:pt>
                <c:pt idx="12">
                  <c:v>3.2499999999999982</c:v>
                </c:pt>
                <c:pt idx="13">
                  <c:v>3.3541666666666647</c:v>
                </c:pt>
                <c:pt idx="14">
                  <c:v>3.4583333333333313</c:v>
                </c:pt>
                <c:pt idx="15">
                  <c:v>3.5624999999999978</c:v>
                </c:pt>
                <c:pt idx="16">
                  <c:v>3.6666666666666643</c:v>
                </c:pt>
                <c:pt idx="17">
                  <c:v>3.7708333333333308</c:v>
                </c:pt>
                <c:pt idx="18">
                  <c:v>3.8749999999999973</c:v>
                </c:pt>
                <c:pt idx="19">
                  <c:v>3.9791666666666639</c:v>
                </c:pt>
                <c:pt idx="20">
                  <c:v>4.0833333333333304</c:v>
                </c:pt>
                <c:pt idx="21">
                  <c:v>4.1874999999999973</c:v>
                </c:pt>
                <c:pt idx="22">
                  <c:v>4.2916666666666643</c:v>
                </c:pt>
                <c:pt idx="23">
                  <c:v>4.3958333333333313</c:v>
                </c:pt>
                <c:pt idx="24">
                  <c:v>4.4999999999999982</c:v>
                </c:pt>
                <c:pt idx="25">
                  <c:v>4.6041666666666652</c:v>
                </c:pt>
                <c:pt idx="26">
                  <c:v>4.7083333333333321</c:v>
                </c:pt>
                <c:pt idx="27">
                  <c:v>4.8124999999999991</c:v>
                </c:pt>
                <c:pt idx="28">
                  <c:v>4.9166666666666661</c:v>
                </c:pt>
                <c:pt idx="29">
                  <c:v>5.020833333333333</c:v>
                </c:pt>
                <c:pt idx="30">
                  <c:v>5.125</c:v>
                </c:pt>
                <c:pt idx="31">
                  <c:v>5.229166666666667</c:v>
                </c:pt>
                <c:pt idx="32">
                  <c:v>5.3333333333333339</c:v>
                </c:pt>
                <c:pt idx="33">
                  <c:v>5.4375000000000009</c:v>
                </c:pt>
                <c:pt idx="34">
                  <c:v>5.5416666666666679</c:v>
                </c:pt>
                <c:pt idx="35">
                  <c:v>5.6458333333333348</c:v>
                </c:pt>
                <c:pt idx="36">
                  <c:v>5.7500000000000018</c:v>
                </c:pt>
                <c:pt idx="37">
                  <c:v>5.8541666666666687</c:v>
                </c:pt>
                <c:pt idx="38">
                  <c:v>5.9583333333333357</c:v>
                </c:pt>
                <c:pt idx="39">
                  <c:v>6.0625000000000027</c:v>
                </c:pt>
                <c:pt idx="40">
                  <c:v>6.1666666666666696</c:v>
                </c:pt>
                <c:pt idx="41">
                  <c:v>6.2708333333333366</c:v>
                </c:pt>
                <c:pt idx="42">
                  <c:v>6.3750000000000036</c:v>
                </c:pt>
                <c:pt idx="43">
                  <c:v>6.4791666666666705</c:v>
                </c:pt>
                <c:pt idx="44">
                  <c:v>6.5833333333333375</c:v>
                </c:pt>
                <c:pt idx="45">
                  <c:v>6.6875000000000044</c:v>
                </c:pt>
                <c:pt idx="46">
                  <c:v>6.7916666666666714</c:v>
                </c:pt>
                <c:pt idx="47">
                  <c:v>6.8958333333333384</c:v>
                </c:pt>
                <c:pt idx="48">
                  <c:v>7.0000000000000053</c:v>
                </c:pt>
                <c:pt idx="49">
                  <c:v>7.1041666666666723</c:v>
                </c:pt>
                <c:pt idx="50">
                  <c:v>7.2083333333333393</c:v>
                </c:pt>
                <c:pt idx="51">
                  <c:v>7.3125000000000062</c:v>
                </c:pt>
                <c:pt idx="52">
                  <c:v>7.4166666666666732</c:v>
                </c:pt>
                <c:pt idx="53">
                  <c:v>7.5208333333333401</c:v>
                </c:pt>
                <c:pt idx="54">
                  <c:v>7.6250000000000071</c:v>
                </c:pt>
                <c:pt idx="55">
                  <c:v>7.7291666666666741</c:v>
                </c:pt>
                <c:pt idx="56">
                  <c:v>7.833333333333341</c:v>
                </c:pt>
                <c:pt idx="57">
                  <c:v>7.937500000000008</c:v>
                </c:pt>
                <c:pt idx="58">
                  <c:v>8.041666666666675</c:v>
                </c:pt>
                <c:pt idx="59">
                  <c:v>8.145833333333341</c:v>
                </c:pt>
                <c:pt idx="60">
                  <c:v>8.2500000000000071</c:v>
                </c:pt>
                <c:pt idx="61">
                  <c:v>8.3541666666666732</c:v>
                </c:pt>
                <c:pt idx="62">
                  <c:v>8.4583333333333393</c:v>
                </c:pt>
                <c:pt idx="63">
                  <c:v>8.5625000000000053</c:v>
                </c:pt>
                <c:pt idx="64">
                  <c:v>8.6666666666666714</c:v>
                </c:pt>
                <c:pt idx="65">
                  <c:v>8.7708333333333375</c:v>
                </c:pt>
                <c:pt idx="66">
                  <c:v>8.8750000000000036</c:v>
                </c:pt>
                <c:pt idx="67">
                  <c:v>8.9791666666666696</c:v>
                </c:pt>
                <c:pt idx="68">
                  <c:v>9.0833333333333357</c:v>
                </c:pt>
                <c:pt idx="69">
                  <c:v>9.1875000000000018</c:v>
                </c:pt>
                <c:pt idx="70">
                  <c:v>9.2916666666666679</c:v>
                </c:pt>
                <c:pt idx="71">
                  <c:v>9.3958333333333339</c:v>
                </c:pt>
                <c:pt idx="72">
                  <c:v>9.5</c:v>
                </c:pt>
                <c:pt idx="73">
                  <c:v>9.6041666666666661</c:v>
                </c:pt>
                <c:pt idx="74">
                  <c:v>9.7083333333333321</c:v>
                </c:pt>
                <c:pt idx="75">
                  <c:v>9.8124999999999982</c:v>
                </c:pt>
                <c:pt idx="76">
                  <c:v>9.9166666666666643</c:v>
                </c:pt>
                <c:pt idx="77">
                  <c:v>10.02083333333333</c:v>
                </c:pt>
                <c:pt idx="78">
                  <c:v>10.124999999999996</c:v>
                </c:pt>
                <c:pt idx="79">
                  <c:v>10.229166666666663</c:v>
                </c:pt>
                <c:pt idx="80">
                  <c:v>10.333333333333329</c:v>
                </c:pt>
                <c:pt idx="81">
                  <c:v>10.437499999999995</c:v>
                </c:pt>
                <c:pt idx="82">
                  <c:v>10.541666666666661</c:v>
                </c:pt>
                <c:pt idx="83">
                  <c:v>10.645833333333327</c:v>
                </c:pt>
                <c:pt idx="84">
                  <c:v>10.749999999999993</c:v>
                </c:pt>
                <c:pt idx="85">
                  <c:v>10.854166666666659</c:v>
                </c:pt>
                <c:pt idx="86">
                  <c:v>10.958333333333325</c:v>
                </c:pt>
                <c:pt idx="87">
                  <c:v>11.062499999999991</c:v>
                </c:pt>
                <c:pt idx="88">
                  <c:v>11.166666666666657</c:v>
                </c:pt>
                <c:pt idx="89">
                  <c:v>11.270833333333323</c:v>
                </c:pt>
                <c:pt idx="90">
                  <c:v>11.374999999999989</c:v>
                </c:pt>
                <c:pt idx="91">
                  <c:v>11.479166666666655</c:v>
                </c:pt>
                <c:pt idx="92">
                  <c:v>11.583333333333321</c:v>
                </c:pt>
                <c:pt idx="93">
                  <c:v>11.687499999999988</c:v>
                </c:pt>
                <c:pt idx="94">
                  <c:v>11.791666666666654</c:v>
                </c:pt>
                <c:pt idx="95">
                  <c:v>11.89583333333332</c:v>
                </c:pt>
                <c:pt idx="96">
                  <c:v>11.999999999999986</c:v>
                </c:pt>
              </c:numCache>
            </c:numRef>
          </c:xVal>
          <c:yVal>
            <c:numRef>
              <c:f>Polynomials!$D$365:$CV$365</c:f>
              <c:numCache>
                <c:formatCode>General</c:formatCode>
                <c:ptCount val="97"/>
                <c:pt idx="0">
                  <c:v>-5.5511151231257827E-17</c:v>
                </c:pt>
                <c:pt idx="1">
                  <c:v>-1.9437799043062202E-2</c:v>
                </c:pt>
                <c:pt idx="2">
                  <c:v>-3.8875598086124348E-2</c:v>
                </c:pt>
                <c:pt idx="3">
                  <c:v>-5.8313397129186491E-2</c:v>
                </c:pt>
                <c:pt idx="4">
                  <c:v>-7.7751196172248641E-2</c:v>
                </c:pt>
                <c:pt idx="5">
                  <c:v>-9.7188995215310783E-2</c:v>
                </c:pt>
                <c:pt idx="6">
                  <c:v>-0.11662679425837293</c:v>
                </c:pt>
                <c:pt idx="7">
                  <c:v>-0.13606459330143506</c:v>
                </c:pt>
                <c:pt idx="8">
                  <c:v>-0.15550239234449723</c:v>
                </c:pt>
                <c:pt idx="9">
                  <c:v>-0.17494019138755937</c:v>
                </c:pt>
                <c:pt idx="10">
                  <c:v>-0.19437799043062151</c:v>
                </c:pt>
                <c:pt idx="11">
                  <c:v>-0.21381578947368365</c:v>
                </c:pt>
                <c:pt idx="12">
                  <c:v>-0.2332535885167458</c:v>
                </c:pt>
                <c:pt idx="13">
                  <c:v>-0.25269138755980791</c:v>
                </c:pt>
                <c:pt idx="14">
                  <c:v>-0.27212918660287005</c:v>
                </c:pt>
                <c:pt idx="15">
                  <c:v>-0.29156698564593225</c:v>
                </c:pt>
                <c:pt idx="16">
                  <c:v>-0.3110047846889944</c:v>
                </c:pt>
                <c:pt idx="17">
                  <c:v>-0.33044258373205654</c:v>
                </c:pt>
                <c:pt idx="18">
                  <c:v>-0.34988038277511868</c:v>
                </c:pt>
                <c:pt idx="19">
                  <c:v>-0.36931818181818082</c:v>
                </c:pt>
                <c:pt idx="20">
                  <c:v>-0.23295454545455022</c:v>
                </c:pt>
                <c:pt idx="21">
                  <c:v>-5.7640550239238753E-2</c:v>
                </c:pt>
                <c:pt idx="22">
                  <c:v>0.11767344497607268</c:v>
                </c:pt>
                <c:pt idx="23">
                  <c:v>0.29298744019138412</c:v>
                </c:pt>
                <c:pt idx="24">
                  <c:v>0.46830143540669555</c:v>
                </c:pt>
                <c:pt idx="25">
                  <c:v>0.64361543062200699</c:v>
                </c:pt>
                <c:pt idx="26">
                  <c:v>0.81892942583731854</c:v>
                </c:pt>
                <c:pt idx="27">
                  <c:v>0.99424342105262986</c:v>
                </c:pt>
                <c:pt idx="28">
                  <c:v>1.1695574162679414</c:v>
                </c:pt>
                <c:pt idx="29">
                  <c:v>1.3448714114832527</c:v>
                </c:pt>
                <c:pt idx="30">
                  <c:v>1.5201854066985643</c:v>
                </c:pt>
                <c:pt idx="31">
                  <c:v>1.6954994019138756</c:v>
                </c:pt>
                <c:pt idx="32">
                  <c:v>1.8708133971291872</c:v>
                </c:pt>
                <c:pt idx="33">
                  <c:v>2.0461273923444985</c:v>
                </c:pt>
                <c:pt idx="34">
                  <c:v>2.2214413875598096</c:v>
                </c:pt>
                <c:pt idx="35">
                  <c:v>2.3967553827751216</c:v>
                </c:pt>
                <c:pt idx="36">
                  <c:v>2.5720693779904327</c:v>
                </c:pt>
                <c:pt idx="37">
                  <c:v>2.7473833732057447</c:v>
                </c:pt>
                <c:pt idx="38">
                  <c:v>2.9226973684210558</c:v>
                </c:pt>
                <c:pt idx="39">
                  <c:v>2.7712320574162579</c:v>
                </c:pt>
                <c:pt idx="40">
                  <c:v>2.4019138755980749</c:v>
                </c:pt>
                <c:pt idx="41">
                  <c:v>2.0325956937798924</c:v>
                </c:pt>
                <c:pt idx="42">
                  <c:v>1.6632775119617094</c:v>
                </c:pt>
                <c:pt idx="43">
                  <c:v>1.2939593301435266</c:v>
                </c:pt>
                <c:pt idx="44">
                  <c:v>0.92464114832534383</c:v>
                </c:pt>
                <c:pt idx="45">
                  <c:v>0.55532296650716084</c:v>
                </c:pt>
                <c:pt idx="46">
                  <c:v>0.1860047846889783</c:v>
                </c:pt>
                <c:pt idx="47">
                  <c:v>-0.18331339712920469</c:v>
                </c:pt>
                <c:pt idx="48">
                  <c:v>-0.55263157894738768</c:v>
                </c:pt>
                <c:pt idx="49">
                  <c:v>-0.92194976076557023</c:v>
                </c:pt>
                <c:pt idx="50">
                  <c:v>-1.2912679425837532</c:v>
                </c:pt>
                <c:pt idx="51">
                  <c:v>-1.6605861244019358</c:v>
                </c:pt>
                <c:pt idx="52">
                  <c:v>-2.0299043062201183</c:v>
                </c:pt>
                <c:pt idx="53">
                  <c:v>-2.3992224880383017</c:v>
                </c:pt>
                <c:pt idx="54">
                  <c:v>-2.7685406698564843</c:v>
                </c:pt>
                <c:pt idx="55">
                  <c:v>-3.1378588516746668</c:v>
                </c:pt>
                <c:pt idx="56">
                  <c:v>-3.5071770334928503</c:v>
                </c:pt>
                <c:pt idx="57">
                  <c:v>-3.8764952153110328</c:v>
                </c:pt>
                <c:pt idx="58">
                  <c:v>-3.9523026315789176</c:v>
                </c:pt>
                <c:pt idx="59">
                  <c:v>-3.5878438995215034</c:v>
                </c:pt>
                <c:pt idx="60">
                  <c:v>-3.2233851674640892</c:v>
                </c:pt>
                <c:pt idx="61">
                  <c:v>-2.8589264354066755</c:v>
                </c:pt>
                <c:pt idx="62">
                  <c:v>-2.4944677033492608</c:v>
                </c:pt>
                <c:pt idx="63">
                  <c:v>-2.1300089712918471</c:v>
                </c:pt>
                <c:pt idx="64">
                  <c:v>-1.7655502392344329</c:v>
                </c:pt>
                <c:pt idx="65">
                  <c:v>-1.4010915071770187</c:v>
                </c:pt>
                <c:pt idx="66">
                  <c:v>-1.0366327751196045</c:v>
                </c:pt>
                <c:pt idx="67">
                  <c:v>-0.67217404306219031</c:v>
                </c:pt>
                <c:pt idx="68">
                  <c:v>-0.30771531100477612</c:v>
                </c:pt>
                <c:pt idx="69">
                  <c:v>5.6743421052638077E-2</c:v>
                </c:pt>
                <c:pt idx="70">
                  <c:v>0.42120215311005182</c:v>
                </c:pt>
                <c:pt idx="71">
                  <c:v>0.78566088516746646</c:v>
                </c:pt>
                <c:pt idx="72">
                  <c:v>1.1501196172248802</c:v>
                </c:pt>
                <c:pt idx="73">
                  <c:v>1.5145783492822948</c:v>
                </c:pt>
                <c:pt idx="74">
                  <c:v>1.8790370813397086</c:v>
                </c:pt>
                <c:pt idx="75">
                  <c:v>2.2434958133971232</c:v>
                </c:pt>
                <c:pt idx="76">
                  <c:v>2.607954545454537</c:v>
                </c:pt>
                <c:pt idx="77">
                  <c:v>2.8693181818181861</c:v>
                </c:pt>
                <c:pt idx="78">
                  <c:v>2.7183014354067034</c:v>
                </c:pt>
                <c:pt idx="79">
                  <c:v>2.5672846889952212</c:v>
                </c:pt>
                <c:pt idx="80">
                  <c:v>2.416267942583739</c:v>
                </c:pt>
                <c:pt idx="81">
                  <c:v>2.2652511961722563</c:v>
                </c:pt>
                <c:pt idx="82">
                  <c:v>2.1142344497607741</c:v>
                </c:pt>
                <c:pt idx="83">
                  <c:v>1.9632177033492919</c:v>
                </c:pt>
                <c:pt idx="84">
                  <c:v>1.8122009569378095</c:v>
                </c:pt>
                <c:pt idx="85">
                  <c:v>1.6611842105263273</c:v>
                </c:pt>
                <c:pt idx="86">
                  <c:v>1.5101674641148448</c:v>
                </c:pt>
                <c:pt idx="87">
                  <c:v>1.3591507177033626</c:v>
                </c:pt>
                <c:pt idx="88">
                  <c:v>1.2081339712918802</c:v>
                </c:pt>
                <c:pt idx="89">
                  <c:v>1.0571172248803979</c:v>
                </c:pt>
                <c:pt idx="90">
                  <c:v>0.9061004784689155</c:v>
                </c:pt>
                <c:pt idx="91">
                  <c:v>0.75508373205743329</c:v>
                </c:pt>
                <c:pt idx="92">
                  <c:v>0.60406698564595063</c:v>
                </c:pt>
                <c:pt idx="93">
                  <c:v>0.45305023923446841</c:v>
                </c:pt>
                <c:pt idx="94">
                  <c:v>0.30203349282298619</c:v>
                </c:pt>
                <c:pt idx="95">
                  <c:v>0.15101674641150398</c:v>
                </c:pt>
                <c:pt idx="96">
                  <c:v>2.1316282072803006E-14</c:v>
                </c:pt>
              </c:numCache>
            </c:numRef>
          </c:yVal>
          <c:smooth val="0"/>
          <c:extLst>
            <c:ext xmlns:c16="http://schemas.microsoft.com/office/drawing/2014/chart" uri="{C3380CC4-5D6E-409C-BE32-E72D297353CC}">
              <c16:uniqueId val="{00000002-D546-41CC-90EF-B0DCE05CAD3D}"/>
            </c:ext>
          </c:extLst>
        </c:ser>
        <c:ser>
          <c:idx val="3"/>
          <c:order val="3"/>
          <c:tx>
            <c:v>Control Points</c:v>
          </c:tx>
          <c:spPr>
            <a:ln w="19050" cap="rnd">
              <a:noFill/>
              <a:round/>
            </a:ln>
            <a:effectLst/>
          </c:spPr>
          <c:marker>
            <c:symbol val="circle"/>
            <c:size val="8"/>
            <c:spPr>
              <a:noFill/>
              <a:ln w="25400">
                <a:solidFill>
                  <a:schemeClr val="accent2"/>
                </a:solidFill>
              </a:ln>
              <a:effectLst/>
            </c:spPr>
          </c:marker>
          <c:xVal>
            <c:numRef>
              <c:f>Polynomials!$C$354:$C$359</c:f>
              <c:numCache>
                <c:formatCode>General</c:formatCode>
                <c:ptCount val="6"/>
                <c:pt idx="0">
                  <c:v>2</c:v>
                </c:pt>
                <c:pt idx="1">
                  <c:v>4</c:v>
                </c:pt>
                <c:pt idx="2">
                  <c:v>6</c:v>
                </c:pt>
                <c:pt idx="3">
                  <c:v>8</c:v>
                </c:pt>
                <c:pt idx="4">
                  <c:v>10</c:v>
                </c:pt>
                <c:pt idx="5">
                  <c:v>12</c:v>
                </c:pt>
              </c:numCache>
            </c:numRef>
          </c:xVal>
          <c:yVal>
            <c:numRef>
              <c:f>Polynomials!$D$354:$D$359</c:f>
              <c:numCache>
                <c:formatCode>General</c:formatCode>
                <c:ptCount val="6"/>
                <c:pt idx="0">
                  <c:v>4</c:v>
                </c:pt>
                <c:pt idx="1">
                  <c:v>2</c:v>
                </c:pt>
                <c:pt idx="2">
                  <c:v>1</c:v>
                </c:pt>
                <c:pt idx="3">
                  <c:v>5</c:v>
                </c:pt>
                <c:pt idx="4">
                  <c:v>2</c:v>
                </c:pt>
                <c:pt idx="5">
                  <c:v>4</c:v>
                </c:pt>
              </c:numCache>
            </c:numRef>
          </c:yVal>
          <c:smooth val="0"/>
          <c:extLst>
            <c:ext xmlns:c16="http://schemas.microsoft.com/office/drawing/2014/chart" uri="{C3380CC4-5D6E-409C-BE32-E72D297353CC}">
              <c16:uniqueId val="{00000003-D546-41CC-90EF-B0DCE05CAD3D}"/>
            </c:ext>
          </c:extLst>
        </c:ser>
        <c:dLbls>
          <c:showLegendKey val="0"/>
          <c:showVal val="0"/>
          <c:showCatName val="0"/>
          <c:showSerName val="0"/>
          <c:showPercent val="0"/>
          <c:showBubbleSize val="0"/>
        </c:dLbls>
        <c:axId val="849836048"/>
        <c:axId val="849836528"/>
      </c:scatterChart>
      <c:valAx>
        <c:axId val="849836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528"/>
        <c:crosses val="autoZero"/>
        <c:crossBetween val="midCat"/>
      </c:valAx>
      <c:valAx>
        <c:axId val="84983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9836048"/>
        <c:crosses val="autoZero"/>
        <c:crossBetween val="midCat"/>
      </c:valAx>
      <c:spPr>
        <a:noFill/>
        <a:ln>
          <a:noFill/>
        </a:ln>
        <a:effectLst/>
      </c:spPr>
    </c:plotArea>
    <c:legend>
      <c:legendPos val="t"/>
      <c:layout>
        <c:manualLayout>
          <c:xMode val="edge"/>
          <c:yMode val="edge"/>
          <c:x val="2.9408719743365418E-2"/>
          <c:y val="2.2222222222222223E-2"/>
          <c:w val="0.96294145523476227"/>
          <c:h val="9.19778361038203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LOGSPACE Example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Sequences!$G$61:$G$71</c:f>
              <c:numCache>
                <c:formatCode>General</c:formatCode>
                <c:ptCount val="11"/>
                <c:pt idx="0">
                  <c:v>100</c:v>
                </c:pt>
                <c:pt idx="1">
                  <c:v>70.7481336007679</c:v>
                </c:pt>
                <c:pt idx="2">
                  <c:v>50.052984079920982</c:v>
                </c:pt>
                <c:pt idx="3">
                  <c:v>35.41155204803357</c:v>
                </c:pt>
                <c:pt idx="4">
                  <c:v>25.053012153048236</c:v>
                </c:pt>
                <c:pt idx="5">
                  <c:v>17.724538509055169</c:v>
                </c:pt>
                <c:pt idx="6">
                  <c:v>12.539780184505897</c:v>
                </c:pt>
                <c:pt idx="7">
                  <c:v>8.871660438176848</c:v>
                </c:pt>
                <c:pt idx="8">
                  <c:v>6.2765341794078227</c:v>
                </c:pt>
                <c:pt idx="9">
                  <c:v>4.4405307867453043</c:v>
                </c:pt>
                <c:pt idx="10">
                  <c:v>3.1415926535897953</c:v>
                </c:pt>
              </c:numCache>
            </c:numRef>
          </c:xVal>
          <c:yVal>
            <c:numRef>
              <c:f>Sequences!$H$61:$H$71</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yVal>
          <c:smooth val="0"/>
          <c:extLst>
            <c:ext xmlns:c16="http://schemas.microsoft.com/office/drawing/2014/chart" uri="{C3380CC4-5D6E-409C-BE32-E72D297353CC}">
              <c16:uniqueId val="{00000000-D3C1-4055-AF5F-E27A9E6AEB8E}"/>
            </c:ext>
          </c:extLst>
        </c:ser>
        <c:dLbls>
          <c:showLegendKey val="0"/>
          <c:showVal val="0"/>
          <c:showCatName val="0"/>
          <c:showSerName val="0"/>
          <c:showPercent val="0"/>
          <c:showBubbleSize val="0"/>
        </c:dLbls>
        <c:axId val="984655344"/>
        <c:axId val="1127767536"/>
      </c:scatterChart>
      <c:valAx>
        <c:axId val="984655344"/>
        <c:scaling>
          <c:logBase val="10"/>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127767536"/>
        <c:crosses val="autoZero"/>
        <c:crossBetween val="midCat"/>
      </c:valAx>
      <c:valAx>
        <c:axId val="1127767536"/>
        <c:scaling>
          <c:orientation val="minMax"/>
          <c:max val="2"/>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846553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LINSPACE Example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Sequences!$H$32</c:f>
              <c:strCache>
                <c:ptCount val="1"/>
                <c:pt idx="0">
                  <c:v>Y</c:v>
                </c:pt>
              </c:strCache>
            </c:strRef>
          </c:tx>
          <c:spPr>
            <a:ln w="19050" cap="rnd">
              <a:solidFill>
                <a:schemeClr val="accent1"/>
              </a:solidFill>
              <a:prstDash val="sysDash"/>
              <a:round/>
            </a:ln>
            <a:effectLst/>
          </c:spPr>
          <c:marker>
            <c:symbol val="circle"/>
            <c:size val="5"/>
            <c:spPr>
              <a:solidFill>
                <a:schemeClr val="accent1"/>
              </a:solidFill>
              <a:ln w="9525">
                <a:solidFill>
                  <a:schemeClr val="accent1"/>
                </a:solidFill>
              </a:ln>
              <a:effectLst/>
            </c:spPr>
          </c:marker>
          <c:xVal>
            <c:numRef>
              <c:f>Sequences!$G$33:$G$52</c:f>
              <c:numCache>
                <c:formatCode>General</c:formatCode>
                <c:ptCount val="20"/>
                <c:pt idx="0">
                  <c:v>0</c:v>
                </c:pt>
                <c:pt idx="1">
                  <c:v>37.89473684210526</c:v>
                </c:pt>
                <c:pt idx="2">
                  <c:v>75.78947368421052</c:v>
                </c:pt>
                <c:pt idx="3">
                  <c:v>113.68421052631578</c:v>
                </c:pt>
                <c:pt idx="4">
                  <c:v>151.57894736842104</c:v>
                </c:pt>
                <c:pt idx="5">
                  <c:v>189.4736842105263</c:v>
                </c:pt>
                <c:pt idx="6">
                  <c:v>227.36842105263156</c:v>
                </c:pt>
                <c:pt idx="7">
                  <c:v>265.26315789473682</c:v>
                </c:pt>
                <c:pt idx="8">
                  <c:v>303.15789473684208</c:v>
                </c:pt>
                <c:pt idx="9">
                  <c:v>341.05263157894734</c:v>
                </c:pt>
                <c:pt idx="10">
                  <c:v>378.9473684210526</c:v>
                </c:pt>
                <c:pt idx="11">
                  <c:v>416.84210526315786</c:v>
                </c:pt>
                <c:pt idx="12">
                  <c:v>454.73684210526312</c:v>
                </c:pt>
                <c:pt idx="13">
                  <c:v>492.63157894736838</c:v>
                </c:pt>
                <c:pt idx="14">
                  <c:v>530.52631578947364</c:v>
                </c:pt>
                <c:pt idx="15">
                  <c:v>568.42105263157896</c:v>
                </c:pt>
                <c:pt idx="16">
                  <c:v>606.31578947368416</c:v>
                </c:pt>
                <c:pt idx="17">
                  <c:v>644.21052631578937</c:v>
                </c:pt>
                <c:pt idx="18">
                  <c:v>682.10526315789457</c:v>
                </c:pt>
                <c:pt idx="19">
                  <c:v>719.99999999999977</c:v>
                </c:pt>
              </c:numCache>
            </c:numRef>
          </c:xVal>
          <c:yVal>
            <c:numRef>
              <c:f>Sequences!$H$33:$H$52</c:f>
              <c:numCache>
                <c:formatCode>General</c:formatCode>
                <c:ptCount val="20"/>
                <c:pt idx="0">
                  <c:v>0</c:v>
                </c:pt>
                <c:pt idx="1">
                  <c:v>0.61421271268966782</c:v>
                </c:pt>
                <c:pt idx="2">
                  <c:v>0.96940026593933037</c:v>
                </c:pt>
                <c:pt idx="3">
                  <c:v>0.91577332665505751</c:v>
                </c:pt>
                <c:pt idx="4">
                  <c:v>0.47594739303707367</c:v>
                </c:pt>
                <c:pt idx="5">
                  <c:v>-0.16459459028073378</c:v>
                </c:pt>
                <c:pt idx="6">
                  <c:v>-0.73572391067313125</c:v>
                </c:pt>
                <c:pt idx="7">
                  <c:v>-0.99658449300666985</c:v>
                </c:pt>
                <c:pt idx="8">
                  <c:v>-0.83716647826252877</c:v>
                </c:pt>
                <c:pt idx="9">
                  <c:v>-0.32469946920468373</c:v>
                </c:pt>
                <c:pt idx="10">
                  <c:v>0.32469946920468329</c:v>
                </c:pt>
                <c:pt idx="11">
                  <c:v>0.83716647826252799</c:v>
                </c:pt>
                <c:pt idx="12">
                  <c:v>0.99658449300666996</c:v>
                </c:pt>
                <c:pt idx="13">
                  <c:v>0.73572391067313225</c:v>
                </c:pt>
                <c:pt idx="14">
                  <c:v>0.1645945902807347</c:v>
                </c:pt>
                <c:pt idx="15">
                  <c:v>-0.4759473930370729</c:v>
                </c:pt>
                <c:pt idx="16">
                  <c:v>-0.91577332665505717</c:v>
                </c:pt>
                <c:pt idx="17">
                  <c:v>-0.96940026593933104</c:v>
                </c:pt>
                <c:pt idx="18">
                  <c:v>-0.6142127126896697</c:v>
                </c:pt>
                <c:pt idx="19">
                  <c:v>-4.0427730607639489E-15</c:v>
                </c:pt>
              </c:numCache>
            </c:numRef>
          </c:yVal>
          <c:smooth val="1"/>
          <c:extLst>
            <c:ext xmlns:c16="http://schemas.microsoft.com/office/drawing/2014/chart" uri="{C3380CC4-5D6E-409C-BE32-E72D297353CC}">
              <c16:uniqueId val="{00000000-2D91-456F-B639-00E0955651F6}"/>
            </c:ext>
          </c:extLst>
        </c:ser>
        <c:dLbls>
          <c:showLegendKey val="0"/>
          <c:showVal val="0"/>
          <c:showCatName val="0"/>
          <c:showSerName val="0"/>
          <c:showPercent val="0"/>
          <c:showBubbleSize val="0"/>
        </c:dLbls>
        <c:axId val="383588431"/>
        <c:axId val="321357343"/>
      </c:scatterChart>
      <c:valAx>
        <c:axId val="3835884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357343"/>
        <c:crosses val="autoZero"/>
        <c:crossBetween val="midCat"/>
      </c:valAx>
      <c:valAx>
        <c:axId val="321357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58843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MESHGRID Example</a:t>
            </a:r>
          </a:p>
        </c:rich>
      </c:tx>
      <c:layout>
        <c:manualLayout>
          <c:xMode val="edge"/>
          <c:yMode val="edge"/>
          <c:x val="0.3915383269399017"/>
          <c:y val="1.8443056244211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93189312874349"/>
          <c:y val="0.1519723158917656"/>
          <c:w val="0.80597402247795946"/>
          <c:h val="0.70829425489920173"/>
        </c:manualLayout>
      </c:layout>
      <c:scatterChart>
        <c:scatterStyle val="lineMarker"/>
        <c:varyColors val="0"/>
        <c:ser>
          <c:idx val="0"/>
          <c:order val="0"/>
          <c:spPr>
            <a:ln w="25400" cap="rnd">
              <a:noFill/>
              <a:round/>
            </a:ln>
            <a:effectLst/>
          </c:spPr>
          <c:marker>
            <c:symbol val="circle"/>
            <c:size val="7"/>
            <c:spPr>
              <a:solidFill>
                <a:schemeClr val="accent1"/>
              </a:solidFill>
              <a:ln w="9525">
                <a:solidFill>
                  <a:schemeClr val="accent1"/>
                </a:solidFill>
              </a:ln>
              <a:effectLst/>
            </c:spPr>
          </c:marker>
          <c:xVal>
            <c:numRef>
              <c:f>Sequences!$H$85:$H$92</c:f>
              <c:numCache>
                <c:formatCode>General</c:formatCode>
                <c:ptCount val="8"/>
                <c:pt idx="0">
                  <c:v>0</c:v>
                </c:pt>
                <c:pt idx="1">
                  <c:v>1</c:v>
                </c:pt>
                <c:pt idx="2">
                  <c:v>2</c:v>
                </c:pt>
                <c:pt idx="3">
                  <c:v>3</c:v>
                </c:pt>
                <c:pt idx="4">
                  <c:v>0</c:v>
                </c:pt>
                <c:pt idx="5">
                  <c:v>1</c:v>
                </c:pt>
                <c:pt idx="6">
                  <c:v>2</c:v>
                </c:pt>
                <c:pt idx="7">
                  <c:v>3</c:v>
                </c:pt>
              </c:numCache>
            </c:numRef>
          </c:xVal>
          <c:yVal>
            <c:numRef>
              <c:f>Sequences!$I$85:$I$92</c:f>
              <c:numCache>
                <c:formatCode>General</c:formatCode>
                <c:ptCount val="8"/>
                <c:pt idx="0">
                  <c:v>1</c:v>
                </c:pt>
                <c:pt idx="1">
                  <c:v>1</c:v>
                </c:pt>
                <c:pt idx="2">
                  <c:v>1</c:v>
                </c:pt>
                <c:pt idx="3">
                  <c:v>1</c:v>
                </c:pt>
                <c:pt idx="4">
                  <c:v>2</c:v>
                </c:pt>
                <c:pt idx="5">
                  <c:v>2</c:v>
                </c:pt>
                <c:pt idx="6">
                  <c:v>2</c:v>
                </c:pt>
                <c:pt idx="7">
                  <c:v>2</c:v>
                </c:pt>
              </c:numCache>
            </c:numRef>
          </c:yVal>
          <c:smooth val="0"/>
          <c:extLst>
            <c:ext xmlns:c16="http://schemas.microsoft.com/office/drawing/2014/chart" uri="{C3380CC4-5D6E-409C-BE32-E72D297353CC}">
              <c16:uniqueId val="{00000000-E551-4306-A80B-2EFCBFD88561}"/>
            </c:ext>
          </c:extLst>
        </c:ser>
        <c:dLbls>
          <c:showLegendKey val="0"/>
          <c:showVal val="0"/>
          <c:showCatName val="0"/>
          <c:showSerName val="0"/>
          <c:showPercent val="0"/>
          <c:showBubbleSize val="0"/>
        </c:dLbls>
        <c:axId val="800356080"/>
        <c:axId val="985084560"/>
      </c:scatterChart>
      <c:valAx>
        <c:axId val="800356080"/>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X</a:t>
                </a:r>
              </a:p>
            </c:rich>
          </c:tx>
          <c:layout>
            <c:manualLayout>
              <c:xMode val="edge"/>
              <c:yMode val="edge"/>
              <c:x val="0.51893586378625745"/>
              <c:y val="0.93196116150070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084560"/>
        <c:crosses val="autoZero"/>
        <c:crossBetween val="midCat"/>
        <c:majorUnit val="0.5"/>
        <c:minorUnit val="0.5"/>
      </c:valAx>
      <c:valAx>
        <c:axId val="985084560"/>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Y</a:t>
                </a:r>
              </a:p>
            </c:rich>
          </c:tx>
          <c:layout>
            <c:manualLayout>
              <c:xMode val="edge"/>
              <c:yMode val="edge"/>
              <c:x val="1.7094017094017096E-2"/>
              <c:y val="0.474630759448999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356080"/>
        <c:crosses val="autoZero"/>
        <c:crossBetween val="midCat"/>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y</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Calc!$C$73:$C$103</c:f>
              <c:numCache>
                <c:formatCode>General</c:formatCode>
                <c:ptCount val="31"/>
                <c:pt idx="0">
                  <c:v>0</c:v>
                </c:pt>
                <c:pt idx="1">
                  <c:v>1.6666666666666666E-2</c:v>
                </c:pt>
                <c:pt idx="2">
                  <c:v>3.3333333333333333E-2</c:v>
                </c:pt>
                <c:pt idx="3">
                  <c:v>0.05</c:v>
                </c:pt>
                <c:pt idx="4">
                  <c:v>6.6666666666666666E-2</c:v>
                </c:pt>
                <c:pt idx="5">
                  <c:v>8.3333333333333329E-2</c:v>
                </c:pt>
                <c:pt idx="6">
                  <c:v>9.9999999999999992E-2</c:v>
                </c:pt>
                <c:pt idx="7">
                  <c:v>0.11666666666666665</c:v>
                </c:pt>
                <c:pt idx="8">
                  <c:v>0.13333333333333333</c:v>
                </c:pt>
                <c:pt idx="9">
                  <c:v>0.15</c:v>
                </c:pt>
                <c:pt idx="10">
                  <c:v>0.16666666666666666</c:v>
                </c:pt>
                <c:pt idx="11">
                  <c:v>0.18333333333333332</c:v>
                </c:pt>
                <c:pt idx="12">
                  <c:v>0.19999999999999998</c:v>
                </c:pt>
                <c:pt idx="13">
                  <c:v>0.21666666666666665</c:v>
                </c:pt>
                <c:pt idx="14">
                  <c:v>0.23333333333333331</c:v>
                </c:pt>
                <c:pt idx="15">
                  <c:v>0.24999999999999997</c:v>
                </c:pt>
                <c:pt idx="16">
                  <c:v>0.26666666666666666</c:v>
                </c:pt>
                <c:pt idx="17">
                  <c:v>0.28333333333333333</c:v>
                </c:pt>
                <c:pt idx="18">
                  <c:v>0.3</c:v>
                </c:pt>
                <c:pt idx="19">
                  <c:v>0.31666666666666665</c:v>
                </c:pt>
                <c:pt idx="20">
                  <c:v>0.33333333333333331</c:v>
                </c:pt>
                <c:pt idx="21">
                  <c:v>0.35</c:v>
                </c:pt>
                <c:pt idx="22">
                  <c:v>0.36666666666666664</c:v>
                </c:pt>
                <c:pt idx="23">
                  <c:v>0.3833333333333333</c:v>
                </c:pt>
                <c:pt idx="24">
                  <c:v>0.39999999999999997</c:v>
                </c:pt>
                <c:pt idx="25">
                  <c:v>0.41666666666666663</c:v>
                </c:pt>
                <c:pt idx="26">
                  <c:v>0.43333333333333329</c:v>
                </c:pt>
                <c:pt idx="27">
                  <c:v>0.44999999999999996</c:v>
                </c:pt>
                <c:pt idx="28">
                  <c:v>0.46666666666666662</c:v>
                </c:pt>
                <c:pt idx="29">
                  <c:v>0.48333333333333328</c:v>
                </c:pt>
                <c:pt idx="30">
                  <c:v>0.49999999999999994</c:v>
                </c:pt>
              </c:numCache>
            </c:numRef>
          </c:xVal>
          <c:yVal>
            <c:numRef>
              <c:f>Calc!$D$73:$D$103</c:f>
              <c:numCache>
                <c:formatCode>General</c:formatCode>
                <c:ptCount val="31"/>
                <c:pt idx="0">
                  <c:v>1</c:v>
                </c:pt>
                <c:pt idx="1">
                  <c:v>0.99310344827586206</c:v>
                </c:pt>
                <c:pt idx="2">
                  <c:v>0.97297297297297303</c:v>
                </c:pt>
                <c:pt idx="3">
                  <c:v>0.94117647058823528</c:v>
                </c:pt>
                <c:pt idx="4">
                  <c:v>0.89999999999999991</c:v>
                </c:pt>
                <c:pt idx="5">
                  <c:v>0.85207100591715967</c:v>
                </c:pt>
                <c:pt idx="6">
                  <c:v>0.8</c:v>
                </c:pt>
                <c:pt idx="7">
                  <c:v>0.7461139896373058</c:v>
                </c:pt>
                <c:pt idx="8">
                  <c:v>0.69230769230769229</c:v>
                </c:pt>
                <c:pt idx="9">
                  <c:v>0.64</c:v>
                </c:pt>
                <c:pt idx="10">
                  <c:v>0.5901639344262295</c:v>
                </c:pt>
                <c:pt idx="11">
                  <c:v>0.54339622641509433</c:v>
                </c:pt>
                <c:pt idx="12">
                  <c:v>0.5</c:v>
                </c:pt>
                <c:pt idx="13">
                  <c:v>0.46006389776357837</c:v>
                </c:pt>
                <c:pt idx="14">
                  <c:v>0.42352941176470593</c:v>
                </c:pt>
                <c:pt idx="15">
                  <c:v>0.39024390243902446</c:v>
                </c:pt>
                <c:pt idx="16">
                  <c:v>0.36</c:v>
                </c:pt>
                <c:pt idx="17">
                  <c:v>0.33256351039260973</c:v>
                </c:pt>
                <c:pt idx="18">
                  <c:v>0.30769230769230771</c:v>
                </c:pt>
                <c:pt idx="19">
                  <c:v>0.28514851485148518</c:v>
                </c:pt>
                <c:pt idx="20">
                  <c:v>0.26470588235294118</c:v>
                </c:pt>
                <c:pt idx="21">
                  <c:v>0.24615384615384617</c:v>
                </c:pt>
                <c:pt idx="22">
                  <c:v>0.22929936305732487</c:v>
                </c:pt>
                <c:pt idx="23">
                  <c:v>0.21396731054977713</c:v>
                </c:pt>
                <c:pt idx="24">
                  <c:v>0.2</c:v>
                </c:pt>
                <c:pt idx="25">
                  <c:v>0.18725617685305596</c:v>
                </c:pt>
                <c:pt idx="26">
                  <c:v>0.17560975609756099</c:v>
                </c:pt>
                <c:pt idx="27">
                  <c:v>0.16494845360824745</c:v>
                </c:pt>
                <c:pt idx="28">
                  <c:v>0.15517241379310345</c:v>
                </c:pt>
                <c:pt idx="29">
                  <c:v>0.14619289340101527</c:v>
                </c:pt>
                <c:pt idx="30">
                  <c:v>0.13793103448275865</c:v>
                </c:pt>
              </c:numCache>
            </c:numRef>
          </c:yVal>
          <c:smooth val="0"/>
          <c:extLst>
            <c:ext xmlns:c16="http://schemas.microsoft.com/office/drawing/2014/chart" uri="{C3380CC4-5D6E-409C-BE32-E72D297353CC}">
              <c16:uniqueId val="{00000000-2162-4484-8BF8-8D6C28844904}"/>
            </c:ext>
          </c:extLst>
        </c:ser>
        <c:ser>
          <c:idx val="1"/>
          <c:order val="1"/>
          <c:tx>
            <c:v>d2y/dx2</c:v>
          </c:tx>
          <c:spPr>
            <a:ln w="12700" cap="rnd">
              <a:solidFill>
                <a:schemeClr val="accent3">
                  <a:lumMod val="75000"/>
                </a:schemeClr>
              </a:solidFill>
              <a:prstDash val="dash"/>
              <a:round/>
            </a:ln>
            <a:effectLst/>
          </c:spPr>
          <c:marker>
            <c:symbol val="circle"/>
            <c:size val="5"/>
            <c:spPr>
              <a:solidFill>
                <a:schemeClr val="accent3"/>
              </a:solidFill>
              <a:ln w="9525">
                <a:noFill/>
              </a:ln>
              <a:effectLst/>
            </c:spPr>
          </c:marker>
          <c:xVal>
            <c:numRef>
              <c:f>Calc!$C$73:$C$103</c:f>
              <c:numCache>
                <c:formatCode>General</c:formatCode>
                <c:ptCount val="31"/>
                <c:pt idx="0">
                  <c:v>0</c:v>
                </c:pt>
                <c:pt idx="1">
                  <c:v>1.6666666666666666E-2</c:v>
                </c:pt>
                <c:pt idx="2">
                  <c:v>3.3333333333333333E-2</c:v>
                </c:pt>
                <c:pt idx="3">
                  <c:v>0.05</c:v>
                </c:pt>
                <c:pt idx="4">
                  <c:v>6.6666666666666666E-2</c:v>
                </c:pt>
                <c:pt idx="5">
                  <c:v>8.3333333333333329E-2</c:v>
                </c:pt>
                <c:pt idx="6">
                  <c:v>9.9999999999999992E-2</c:v>
                </c:pt>
                <c:pt idx="7">
                  <c:v>0.11666666666666665</c:v>
                </c:pt>
                <c:pt idx="8">
                  <c:v>0.13333333333333333</c:v>
                </c:pt>
                <c:pt idx="9">
                  <c:v>0.15</c:v>
                </c:pt>
                <c:pt idx="10">
                  <c:v>0.16666666666666666</c:v>
                </c:pt>
                <c:pt idx="11">
                  <c:v>0.18333333333333332</c:v>
                </c:pt>
                <c:pt idx="12">
                  <c:v>0.19999999999999998</c:v>
                </c:pt>
                <c:pt idx="13">
                  <c:v>0.21666666666666665</c:v>
                </c:pt>
                <c:pt idx="14">
                  <c:v>0.23333333333333331</c:v>
                </c:pt>
                <c:pt idx="15">
                  <c:v>0.24999999999999997</c:v>
                </c:pt>
                <c:pt idx="16">
                  <c:v>0.26666666666666666</c:v>
                </c:pt>
                <c:pt idx="17">
                  <c:v>0.28333333333333333</c:v>
                </c:pt>
                <c:pt idx="18">
                  <c:v>0.3</c:v>
                </c:pt>
                <c:pt idx="19">
                  <c:v>0.31666666666666665</c:v>
                </c:pt>
                <c:pt idx="20">
                  <c:v>0.33333333333333331</c:v>
                </c:pt>
                <c:pt idx="21">
                  <c:v>0.35</c:v>
                </c:pt>
                <c:pt idx="22">
                  <c:v>0.36666666666666664</c:v>
                </c:pt>
                <c:pt idx="23">
                  <c:v>0.3833333333333333</c:v>
                </c:pt>
                <c:pt idx="24">
                  <c:v>0.39999999999999997</c:v>
                </c:pt>
                <c:pt idx="25">
                  <c:v>0.41666666666666663</c:v>
                </c:pt>
                <c:pt idx="26">
                  <c:v>0.43333333333333329</c:v>
                </c:pt>
                <c:pt idx="27">
                  <c:v>0.44999999999999996</c:v>
                </c:pt>
                <c:pt idx="28">
                  <c:v>0.46666666666666662</c:v>
                </c:pt>
                <c:pt idx="29">
                  <c:v>0.48333333333333328</c:v>
                </c:pt>
                <c:pt idx="30">
                  <c:v>0.49999999999999994</c:v>
                </c:pt>
              </c:numCache>
            </c:numRef>
          </c:xVal>
          <c:yVal>
            <c:numRef>
              <c:f>Calc!$F$73:$F$103</c:f>
              <c:numCache>
                <c:formatCode>General</c:formatCode>
                <c:ptCount val="31"/>
                <c:pt idx="0">
                  <c:v>-50</c:v>
                </c:pt>
                <c:pt idx="1">
                  <c:v>-47.952371970970525</c:v>
                </c:pt>
                <c:pt idx="2">
                  <c:v>-42.216650543896719</c:v>
                </c:pt>
                <c:pt idx="3">
                  <c:v>-33.869326277223685</c:v>
                </c:pt>
                <c:pt idx="4">
                  <c:v>-24.299999999999997</c:v>
                </c:pt>
                <c:pt idx="5">
                  <c:v>-14.821220396332237</c:v>
                </c:pt>
                <c:pt idx="6">
                  <c:v>-6.4000000000000021</c:v>
                </c:pt>
                <c:pt idx="7">
                  <c:v>0.43265757942940297</c:v>
                </c:pt>
                <c:pt idx="8">
                  <c:v>5.5302685480200253</c:v>
                </c:pt>
                <c:pt idx="9">
                  <c:v>9.0111999999999988</c:v>
                </c:pt>
                <c:pt idx="10">
                  <c:v>11.133971565901991</c:v>
                </c:pt>
                <c:pt idx="11">
                  <c:v>12.201170093432832</c:v>
                </c:pt>
                <c:pt idx="12">
                  <c:v>12.499999999999996</c:v>
                </c:pt>
                <c:pt idx="13">
                  <c:v>12.27350491680928</c:v>
                </c:pt>
                <c:pt idx="14">
                  <c:v>11.712273559943014</c:v>
                </c:pt>
                <c:pt idx="15">
                  <c:v>10.957473048853039</c:v>
                </c:pt>
                <c:pt idx="16">
                  <c:v>10.108799999999999</c:v>
                </c:pt>
                <c:pt idx="17">
                  <c:v>9.2335689544440971</c:v>
                </c:pt>
                <c:pt idx="18">
                  <c:v>8.3750568957669564</c:v>
                </c:pt>
                <c:pt idx="19">
                  <c:v>7.5593846846698209</c:v>
                </c:pt>
                <c:pt idx="20">
                  <c:v>6.8008345206594747</c:v>
                </c:pt>
                <c:pt idx="21">
                  <c:v>6.1057806099226202</c:v>
                </c:pt>
                <c:pt idx="22">
                  <c:v>5.47550022700886</c:v>
                </c:pt>
                <c:pt idx="23">
                  <c:v>4.9081307880218867</c:v>
                </c:pt>
                <c:pt idx="24">
                  <c:v>4.3999999999999995</c:v>
                </c:pt>
                <c:pt idx="25">
                  <c:v>3.9465084497540541</c:v>
                </c:pt>
                <c:pt idx="26">
                  <c:v>3.5426996125999342</c:v>
                </c:pt>
                <c:pt idx="27">
                  <c:v>3.1836155994534749</c:v>
                </c:pt>
                <c:pt idx="28">
                  <c:v>2.8645085899380875</c:v>
                </c:pt>
                <c:pt idx="29">
                  <c:v>2.5809568218581376</c:v>
                </c:pt>
                <c:pt idx="30">
                  <c:v>2.3289187748575189</c:v>
                </c:pt>
              </c:numCache>
            </c:numRef>
          </c:yVal>
          <c:smooth val="0"/>
          <c:extLst>
            <c:ext xmlns:c16="http://schemas.microsoft.com/office/drawing/2014/chart" uri="{C3380CC4-5D6E-409C-BE32-E72D297353CC}">
              <c16:uniqueId val="{00000002-2162-4484-8BF8-8D6C28844904}"/>
            </c:ext>
          </c:extLst>
        </c:ser>
        <c:ser>
          <c:idx val="2"/>
          <c:order val="2"/>
          <c:tx>
            <c:v>∆2y/∆x2</c:v>
          </c:tx>
          <c:spPr>
            <a:ln w="19050" cap="rnd">
              <a:noFill/>
              <a:round/>
            </a:ln>
            <a:effectLst/>
          </c:spPr>
          <c:marker>
            <c:symbol val="x"/>
            <c:size val="5"/>
            <c:spPr>
              <a:noFill/>
              <a:ln w="6350">
                <a:solidFill>
                  <a:schemeClr val="tx1"/>
                </a:solidFill>
              </a:ln>
              <a:effectLst/>
            </c:spPr>
          </c:marker>
          <c:xVal>
            <c:numRef>
              <c:f>Calc!$C$73:$C$103</c:f>
              <c:numCache>
                <c:formatCode>General</c:formatCode>
                <c:ptCount val="31"/>
                <c:pt idx="0">
                  <c:v>0</c:v>
                </c:pt>
                <c:pt idx="1">
                  <c:v>1.6666666666666666E-2</c:v>
                </c:pt>
                <c:pt idx="2">
                  <c:v>3.3333333333333333E-2</c:v>
                </c:pt>
                <c:pt idx="3">
                  <c:v>0.05</c:v>
                </c:pt>
                <c:pt idx="4">
                  <c:v>6.6666666666666666E-2</c:v>
                </c:pt>
                <c:pt idx="5">
                  <c:v>8.3333333333333329E-2</c:v>
                </c:pt>
                <c:pt idx="6">
                  <c:v>9.9999999999999992E-2</c:v>
                </c:pt>
                <c:pt idx="7">
                  <c:v>0.11666666666666665</c:v>
                </c:pt>
                <c:pt idx="8">
                  <c:v>0.13333333333333333</c:v>
                </c:pt>
                <c:pt idx="9">
                  <c:v>0.15</c:v>
                </c:pt>
                <c:pt idx="10">
                  <c:v>0.16666666666666666</c:v>
                </c:pt>
                <c:pt idx="11">
                  <c:v>0.18333333333333332</c:v>
                </c:pt>
                <c:pt idx="12">
                  <c:v>0.19999999999999998</c:v>
                </c:pt>
                <c:pt idx="13">
                  <c:v>0.21666666666666665</c:v>
                </c:pt>
                <c:pt idx="14">
                  <c:v>0.23333333333333331</c:v>
                </c:pt>
                <c:pt idx="15">
                  <c:v>0.24999999999999997</c:v>
                </c:pt>
                <c:pt idx="16">
                  <c:v>0.26666666666666666</c:v>
                </c:pt>
                <c:pt idx="17">
                  <c:v>0.28333333333333333</c:v>
                </c:pt>
                <c:pt idx="18">
                  <c:v>0.3</c:v>
                </c:pt>
                <c:pt idx="19">
                  <c:v>0.31666666666666665</c:v>
                </c:pt>
                <c:pt idx="20">
                  <c:v>0.33333333333333331</c:v>
                </c:pt>
                <c:pt idx="21">
                  <c:v>0.35</c:v>
                </c:pt>
                <c:pt idx="22">
                  <c:v>0.36666666666666664</c:v>
                </c:pt>
                <c:pt idx="23">
                  <c:v>0.3833333333333333</c:v>
                </c:pt>
                <c:pt idx="24">
                  <c:v>0.39999999999999997</c:v>
                </c:pt>
                <c:pt idx="25">
                  <c:v>0.41666666666666663</c:v>
                </c:pt>
                <c:pt idx="26">
                  <c:v>0.43333333333333329</c:v>
                </c:pt>
                <c:pt idx="27">
                  <c:v>0.44999999999999996</c:v>
                </c:pt>
                <c:pt idx="28">
                  <c:v>0.46666666666666662</c:v>
                </c:pt>
                <c:pt idx="29">
                  <c:v>0.48333333333333328</c:v>
                </c:pt>
                <c:pt idx="30">
                  <c:v>0.49999999999999994</c:v>
                </c:pt>
              </c:numCache>
            </c:numRef>
          </c:xVal>
          <c:yVal>
            <c:numRef>
              <c:f>Calc!$J$73:$J$103</c:f>
              <c:numCache>
                <c:formatCode>General</c:formatCode>
                <c:ptCount val="31"/>
                <c:pt idx="0">
                  <c:v>-53.286552272352317</c:v>
                </c:pt>
                <c:pt idx="1">
                  <c:v>-47.642124883503868</c:v>
                </c:pt>
                <c:pt idx="2">
                  <c:v>-41.99769749465537</c:v>
                </c:pt>
                <c:pt idx="3">
                  <c:v>-33.767885532591322</c:v>
                </c:pt>
                <c:pt idx="4">
                  <c:v>-24.309084580577618</c:v>
                </c:pt>
                <c:pt idx="5">
                  <c:v>-14.911242603550011</c:v>
                </c:pt>
                <c:pt idx="6">
                  <c:v>-6.5340160039246218</c:v>
                </c:pt>
                <c:pt idx="7">
                  <c:v>0.28696691909054961</c:v>
                </c:pt>
                <c:pt idx="8">
                  <c:v>5.3949780789164876</c:v>
                </c:pt>
                <c:pt idx="9">
                  <c:v>8.8978562421182978</c:v>
                </c:pt>
                <c:pt idx="10">
                  <c:v>11.046087225487252</c:v>
                </c:pt>
                <c:pt idx="11">
                  <c:v>12.137333745747</c:v>
                </c:pt>
                <c:pt idx="12">
                  <c:v>12.456447043221676</c:v>
                </c:pt>
                <c:pt idx="13">
                  <c:v>12.245818455177124</c:v>
                </c:pt>
                <c:pt idx="14">
                  <c:v>11.696316023487533</c:v>
                </c:pt>
                <c:pt idx="15">
                  <c:v>10.949784791965351</c:v>
                </c:pt>
                <c:pt idx="16">
                  <c:v>10.106686193882929</c:v>
                </c:pt>
                <c:pt idx="17">
                  <c:v>9.235032865517649</c:v>
                </c:pt>
                <c:pt idx="18">
                  <c:v>8.3786754941261155</c:v>
                </c:pt>
                <c:pt idx="19">
                  <c:v>7.5641772322026597</c:v>
                </c:pt>
                <c:pt idx="20">
                  <c:v>6.8061466780163622</c:v>
                </c:pt>
                <c:pt idx="21">
                  <c:v>6.1111911692653988</c:v>
                </c:pt>
                <c:pt idx="22">
                  <c:v>5.4807501203048137</c:v>
                </c:pt>
                <c:pt idx="23">
                  <c:v>4.9130710479742135</c:v>
                </c:pt>
                <c:pt idx="24">
                  <c:v>4.4045546501990307</c:v>
                </c:pt>
                <c:pt idx="25">
                  <c:v>3.9506486092167159</c:v>
                </c:pt>
                <c:pt idx="26">
                  <c:v>3.5464257582531085</c:v>
                </c:pt>
                <c:pt idx="27">
                  <c:v>3.1869456270104077</c:v>
                </c:pt>
                <c:pt idx="28">
                  <c:v>2.8674699230009217</c:v>
                </c:pt>
                <c:pt idx="29">
                  <c:v>2.583581305793627</c:v>
                </c:pt>
                <c:pt idx="30">
                  <c:v>2.2996926885864002</c:v>
                </c:pt>
              </c:numCache>
            </c:numRef>
          </c:yVal>
          <c:smooth val="0"/>
          <c:extLst>
            <c:ext xmlns:c16="http://schemas.microsoft.com/office/drawing/2014/chart" uri="{C3380CC4-5D6E-409C-BE32-E72D297353CC}">
              <c16:uniqueId val="{00000003-2162-4484-8BF8-8D6C28844904}"/>
            </c:ext>
          </c:extLst>
        </c:ser>
        <c:dLbls>
          <c:showLegendKey val="0"/>
          <c:showVal val="0"/>
          <c:showCatName val="0"/>
          <c:showSerName val="0"/>
          <c:showPercent val="0"/>
          <c:showBubbleSize val="0"/>
        </c:dLbls>
        <c:axId val="217697680"/>
        <c:axId val="217699120"/>
      </c:scatterChart>
      <c:valAx>
        <c:axId val="217697680"/>
        <c:scaling>
          <c:orientation val="minMax"/>
          <c:max val="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17699120"/>
        <c:crosses val="autoZero"/>
        <c:crossBetween val="midCat"/>
      </c:valAx>
      <c:valAx>
        <c:axId val="21769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1769768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y</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Calc!$C$73:$C$103</c:f>
              <c:numCache>
                <c:formatCode>General</c:formatCode>
                <c:ptCount val="31"/>
                <c:pt idx="0">
                  <c:v>0</c:v>
                </c:pt>
                <c:pt idx="1">
                  <c:v>1.6666666666666666E-2</c:v>
                </c:pt>
                <c:pt idx="2">
                  <c:v>3.3333333333333333E-2</c:v>
                </c:pt>
                <c:pt idx="3">
                  <c:v>0.05</c:v>
                </c:pt>
                <c:pt idx="4">
                  <c:v>6.6666666666666666E-2</c:v>
                </c:pt>
                <c:pt idx="5">
                  <c:v>8.3333333333333329E-2</c:v>
                </c:pt>
                <c:pt idx="6">
                  <c:v>9.9999999999999992E-2</c:v>
                </c:pt>
                <c:pt idx="7">
                  <c:v>0.11666666666666665</c:v>
                </c:pt>
                <c:pt idx="8">
                  <c:v>0.13333333333333333</c:v>
                </c:pt>
                <c:pt idx="9">
                  <c:v>0.15</c:v>
                </c:pt>
                <c:pt idx="10">
                  <c:v>0.16666666666666666</c:v>
                </c:pt>
                <c:pt idx="11">
                  <c:v>0.18333333333333332</c:v>
                </c:pt>
                <c:pt idx="12">
                  <c:v>0.19999999999999998</c:v>
                </c:pt>
                <c:pt idx="13">
                  <c:v>0.21666666666666665</c:v>
                </c:pt>
                <c:pt idx="14">
                  <c:v>0.23333333333333331</c:v>
                </c:pt>
                <c:pt idx="15">
                  <c:v>0.24999999999999997</c:v>
                </c:pt>
                <c:pt idx="16">
                  <c:v>0.26666666666666666</c:v>
                </c:pt>
                <c:pt idx="17">
                  <c:v>0.28333333333333333</c:v>
                </c:pt>
                <c:pt idx="18">
                  <c:v>0.3</c:v>
                </c:pt>
                <c:pt idx="19">
                  <c:v>0.31666666666666665</c:v>
                </c:pt>
                <c:pt idx="20">
                  <c:v>0.33333333333333331</c:v>
                </c:pt>
                <c:pt idx="21">
                  <c:v>0.35</c:v>
                </c:pt>
                <c:pt idx="22">
                  <c:v>0.36666666666666664</c:v>
                </c:pt>
                <c:pt idx="23">
                  <c:v>0.3833333333333333</c:v>
                </c:pt>
                <c:pt idx="24">
                  <c:v>0.39999999999999997</c:v>
                </c:pt>
                <c:pt idx="25">
                  <c:v>0.41666666666666663</c:v>
                </c:pt>
                <c:pt idx="26">
                  <c:v>0.43333333333333329</c:v>
                </c:pt>
                <c:pt idx="27">
                  <c:v>0.44999999999999996</c:v>
                </c:pt>
                <c:pt idx="28">
                  <c:v>0.46666666666666662</c:v>
                </c:pt>
                <c:pt idx="29">
                  <c:v>0.48333333333333328</c:v>
                </c:pt>
                <c:pt idx="30">
                  <c:v>0.49999999999999994</c:v>
                </c:pt>
              </c:numCache>
            </c:numRef>
          </c:xVal>
          <c:yVal>
            <c:numRef>
              <c:f>Calc!$D$73:$D$103</c:f>
              <c:numCache>
                <c:formatCode>General</c:formatCode>
                <c:ptCount val="31"/>
                <c:pt idx="0">
                  <c:v>1</c:v>
                </c:pt>
                <c:pt idx="1">
                  <c:v>0.99310344827586206</c:v>
                </c:pt>
                <c:pt idx="2">
                  <c:v>0.97297297297297303</c:v>
                </c:pt>
                <c:pt idx="3">
                  <c:v>0.94117647058823528</c:v>
                </c:pt>
                <c:pt idx="4">
                  <c:v>0.89999999999999991</c:v>
                </c:pt>
                <c:pt idx="5">
                  <c:v>0.85207100591715967</c:v>
                </c:pt>
                <c:pt idx="6">
                  <c:v>0.8</c:v>
                </c:pt>
                <c:pt idx="7">
                  <c:v>0.7461139896373058</c:v>
                </c:pt>
                <c:pt idx="8">
                  <c:v>0.69230769230769229</c:v>
                </c:pt>
                <c:pt idx="9">
                  <c:v>0.64</c:v>
                </c:pt>
                <c:pt idx="10">
                  <c:v>0.5901639344262295</c:v>
                </c:pt>
                <c:pt idx="11">
                  <c:v>0.54339622641509433</c:v>
                </c:pt>
                <c:pt idx="12">
                  <c:v>0.5</c:v>
                </c:pt>
                <c:pt idx="13">
                  <c:v>0.46006389776357837</c:v>
                </c:pt>
                <c:pt idx="14">
                  <c:v>0.42352941176470593</c:v>
                </c:pt>
                <c:pt idx="15">
                  <c:v>0.39024390243902446</c:v>
                </c:pt>
                <c:pt idx="16">
                  <c:v>0.36</c:v>
                </c:pt>
                <c:pt idx="17">
                  <c:v>0.33256351039260973</c:v>
                </c:pt>
                <c:pt idx="18">
                  <c:v>0.30769230769230771</c:v>
                </c:pt>
                <c:pt idx="19">
                  <c:v>0.28514851485148518</c:v>
                </c:pt>
                <c:pt idx="20">
                  <c:v>0.26470588235294118</c:v>
                </c:pt>
                <c:pt idx="21">
                  <c:v>0.24615384615384617</c:v>
                </c:pt>
                <c:pt idx="22">
                  <c:v>0.22929936305732487</c:v>
                </c:pt>
                <c:pt idx="23">
                  <c:v>0.21396731054977713</c:v>
                </c:pt>
                <c:pt idx="24">
                  <c:v>0.2</c:v>
                </c:pt>
                <c:pt idx="25">
                  <c:v>0.18725617685305596</c:v>
                </c:pt>
                <c:pt idx="26">
                  <c:v>0.17560975609756099</c:v>
                </c:pt>
                <c:pt idx="27">
                  <c:v>0.16494845360824745</c:v>
                </c:pt>
                <c:pt idx="28">
                  <c:v>0.15517241379310345</c:v>
                </c:pt>
                <c:pt idx="29">
                  <c:v>0.14619289340101527</c:v>
                </c:pt>
                <c:pt idx="30">
                  <c:v>0.13793103448275865</c:v>
                </c:pt>
              </c:numCache>
            </c:numRef>
          </c:yVal>
          <c:smooth val="0"/>
          <c:extLst>
            <c:ext xmlns:c16="http://schemas.microsoft.com/office/drawing/2014/chart" uri="{C3380CC4-5D6E-409C-BE32-E72D297353CC}">
              <c16:uniqueId val="{00000000-5CAD-4A4D-8C48-569F6D34D462}"/>
            </c:ext>
          </c:extLst>
        </c:ser>
        <c:ser>
          <c:idx val="1"/>
          <c:order val="1"/>
          <c:tx>
            <c:v>dy/dx</c:v>
          </c:tx>
          <c:spPr>
            <a:ln w="12700" cap="rnd">
              <a:solidFill>
                <a:schemeClr val="accent2"/>
              </a:solidFill>
              <a:prstDash val="dash"/>
              <a:round/>
            </a:ln>
            <a:effectLst/>
          </c:spPr>
          <c:marker>
            <c:symbol val="circle"/>
            <c:size val="5"/>
            <c:spPr>
              <a:solidFill>
                <a:schemeClr val="accent2">
                  <a:lumMod val="60000"/>
                  <a:lumOff val="40000"/>
                </a:schemeClr>
              </a:solidFill>
              <a:ln w="9525">
                <a:noFill/>
              </a:ln>
              <a:effectLst/>
            </c:spPr>
          </c:marker>
          <c:xVal>
            <c:numRef>
              <c:f>Calc!$C$73:$C$103</c:f>
              <c:numCache>
                <c:formatCode>General</c:formatCode>
                <c:ptCount val="31"/>
                <c:pt idx="0">
                  <c:v>0</c:v>
                </c:pt>
                <c:pt idx="1">
                  <c:v>1.6666666666666666E-2</c:v>
                </c:pt>
                <c:pt idx="2">
                  <c:v>3.3333333333333333E-2</c:v>
                </c:pt>
                <c:pt idx="3">
                  <c:v>0.05</c:v>
                </c:pt>
                <c:pt idx="4">
                  <c:v>6.6666666666666666E-2</c:v>
                </c:pt>
                <c:pt idx="5">
                  <c:v>8.3333333333333329E-2</c:v>
                </c:pt>
                <c:pt idx="6">
                  <c:v>9.9999999999999992E-2</c:v>
                </c:pt>
                <c:pt idx="7">
                  <c:v>0.11666666666666665</c:v>
                </c:pt>
                <c:pt idx="8">
                  <c:v>0.13333333333333333</c:v>
                </c:pt>
                <c:pt idx="9">
                  <c:v>0.15</c:v>
                </c:pt>
                <c:pt idx="10">
                  <c:v>0.16666666666666666</c:v>
                </c:pt>
                <c:pt idx="11">
                  <c:v>0.18333333333333332</c:v>
                </c:pt>
                <c:pt idx="12">
                  <c:v>0.19999999999999998</c:v>
                </c:pt>
                <c:pt idx="13">
                  <c:v>0.21666666666666665</c:v>
                </c:pt>
                <c:pt idx="14">
                  <c:v>0.23333333333333331</c:v>
                </c:pt>
                <c:pt idx="15">
                  <c:v>0.24999999999999997</c:v>
                </c:pt>
                <c:pt idx="16">
                  <c:v>0.26666666666666666</c:v>
                </c:pt>
                <c:pt idx="17">
                  <c:v>0.28333333333333333</c:v>
                </c:pt>
                <c:pt idx="18">
                  <c:v>0.3</c:v>
                </c:pt>
                <c:pt idx="19">
                  <c:v>0.31666666666666665</c:v>
                </c:pt>
                <c:pt idx="20">
                  <c:v>0.33333333333333331</c:v>
                </c:pt>
                <c:pt idx="21">
                  <c:v>0.35</c:v>
                </c:pt>
                <c:pt idx="22">
                  <c:v>0.36666666666666664</c:v>
                </c:pt>
                <c:pt idx="23">
                  <c:v>0.3833333333333333</c:v>
                </c:pt>
                <c:pt idx="24">
                  <c:v>0.39999999999999997</c:v>
                </c:pt>
                <c:pt idx="25">
                  <c:v>0.41666666666666663</c:v>
                </c:pt>
                <c:pt idx="26">
                  <c:v>0.43333333333333329</c:v>
                </c:pt>
                <c:pt idx="27">
                  <c:v>0.44999999999999996</c:v>
                </c:pt>
                <c:pt idx="28">
                  <c:v>0.46666666666666662</c:v>
                </c:pt>
                <c:pt idx="29">
                  <c:v>0.48333333333333328</c:v>
                </c:pt>
                <c:pt idx="30">
                  <c:v>0.49999999999999994</c:v>
                </c:pt>
              </c:numCache>
            </c:numRef>
          </c:xVal>
          <c:yVal>
            <c:numRef>
              <c:f>Calc!$E$73:$E$103</c:f>
              <c:numCache>
                <c:formatCode>General</c:formatCode>
                <c:ptCount val="31"/>
                <c:pt idx="0">
                  <c:v>0</c:v>
                </c:pt>
                <c:pt idx="1">
                  <c:v>-0.82187871581450656</c:v>
                </c:pt>
                <c:pt idx="2">
                  <c:v>-1.5777940102264432</c:v>
                </c:pt>
                <c:pt idx="3">
                  <c:v>-2.2145328719723185</c:v>
                </c:pt>
                <c:pt idx="4">
                  <c:v>-2.6999999999999997</c:v>
                </c:pt>
                <c:pt idx="5">
                  <c:v>-3.0251041630195012</c:v>
                </c:pt>
                <c:pt idx="6">
                  <c:v>-3.2</c:v>
                </c:pt>
                <c:pt idx="7">
                  <c:v>-3.2473354989395689</c:v>
                </c:pt>
                <c:pt idx="8">
                  <c:v>-3.1952662721893494</c:v>
                </c:pt>
                <c:pt idx="9">
                  <c:v>-3.0720000000000001</c:v>
                </c:pt>
                <c:pt idx="10">
                  <c:v>-2.9024455791453905</c:v>
                </c:pt>
                <c:pt idx="11">
                  <c:v>-2.7067283730865079</c:v>
                </c:pt>
                <c:pt idx="12">
                  <c:v>-2.5</c:v>
                </c:pt>
                <c:pt idx="13">
                  <c:v>-2.2929702252753428</c:v>
                </c:pt>
                <c:pt idx="14">
                  <c:v>-2.0927335640138414</c:v>
                </c:pt>
                <c:pt idx="15">
                  <c:v>-1.9036287923854853</c:v>
                </c:pt>
                <c:pt idx="16">
                  <c:v>-1.7280000000000002</c:v>
                </c:pt>
                <c:pt idx="17">
                  <c:v>-1.5668119196326187</c:v>
                </c:pt>
                <c:pt idx="18">
                  <c:v>-1.4201183431952662</c:v>
                </c:pt>
                <c:pt idx="19">
                  <c:v>-1.2874031957651211</c:v>
                </c:pt>
                <c:pt idx="20">
                  <c:v>-1.167820069204152</c:v>
                </c:pt>
                <c:pt idx="21">
                  <c:v>-1.0603550295857989</c:v>
                </c:pt>
                <c:pt idx="22">
                  <c:v>-0.96393362813907268</c:v>
                </c:pt>
                <c:pt idx="23">
                  <c:v>-0.87748852469150795</c:v>
                </c:pt>
                <c:pt idx="24">
                  <c:v>-0.8</c:v>
                </c:pt>
                <c:pt idx="25">
                  <c:v>-0.73051824520047848</c:v>
                </c:pt>
                <c:pt idx="26">
                  <c:v>-0.66817370612730531</c:v>
                </c:pt>
                <c:pt idx="27">
                  <c:v>-0.61217982782442359</c:v>
                </c:pt>
                <c:pt idx="28">
                  <c:v>-0.56183115338882295</c:v>
                </c:pt>
                <c:pt idx="29">
                  <c:v>-0.51649875028988146</c:v>
                </c:pt>
                <c:pt idx="30">
                  <c:v>-0.47562425683709886</c:v>
                </c:pt>
              </c:numCache>
            </c:numRef>
          </c:yVal>
          <c:smooth val="0"/>
          <c:extLst>
            <c:ext xmlns:c16="http://schemas.microsoft.com/office/drawing/2014/chart" uri="{C3380CC4-5D6E-409C-BE32-E72D297353CC}">
              <c16:uniqueId val="{00000001-5CAD-4A4D-8C48-569F6D34D462}"/>
            </c:ext>
          </c:extLst>
        </c:ser>
        <c:ser>
          <c:idx val="2"/>
          <c:order val="2"/>
          <c:tx>
            <c:v>∆y/∆x</c:v>
          </c:tx>
          <c:spPr>
            <a:ln w="25400" cap="rnd">
              <a:noFill/>
              <a:round/>
            </a:ln>
            <a:effectLst/>
          </c:spPr>
          <c:marker>
            <c:symbol val="x"/>
            <c:size val="5"/>
            <c:spPr>
              <a:noFill/>
              <a:ln w="6350">
                <a:solidFill>
                  <a:schemeClr val="tx1"/>
                </a:solidFill>
              </a:ln>
              <a:effectLst/>
            </c:spPr>
          </c:marker>
          <c:xVal>
            <c:numRef>
              <c:f>Calc!$C$73:$C$103</c:f>
              <c:numCache>
                <c:formatCode>General</c:formatCode>
                <c:ptCount val="31"/>
                <c:pt idx="0">
                  <c:v>0</c:v>
                </c:pt>
                <c:pt idx="1">
                  <c:v>1.6666666666666666E-2</c:v>
                </c:pt>
                <c:pt idx="2">
                  <c:v>3.3333333333333333E-2</c:v>
                </c:pt>
                <c:pt idx="3">
                  <c:v>0.05</c:v>
                </c:pt>
                <c:pt idx="4">
                  <c:v>6.6666666666666666E-2</c:v>
                </c:pt>
                <c:pt idx="5">
                  <c:v>8.3333333333333329E-2</c:v>
                </c:pt>
                <c:pt idx="6">
                  <c:v>9.9999999999999992E-2</c:v>
                </c:pt>
                <c:pt idx="7">
                  <c:v>0.11666666666666665</c:v>
                </c:pt>
                <c:pt idx="8">
                  <c:v>0.13333333333333333</c:v>
                </c:pt>
                <c:pt idx="9">
                  <c:v>0.15</c:v>
                </c:pt>
                <c:pt idx="10">
                  <c:v>0.16666666666666666</c:v>
                </c:pt>
                <c:pt idx="11">
                  <c:v>0.18333333333333332</c:v>
                </c:pt>
                <c:pt idx="12">
                  <c:v>0.19999999999999998</c:v>
                </c:pt>
                <c:pt idx="13">
                  <c:v>0.21666666666666665</c:v>
                </c:pt>
                <c:pt idx="14">
                  <c:v>0.23333333333333331</c:v>
                </c:pt>
                <c:pt idx="15">
                  <c:v>0.24999999999999997</c:v>
                </c:pt>
                <c:pt idx="16">
                  <c:v>0.26666666666666666</c:v>
                </c:pt>
                <c:pt idx="17">
                  <c:v>0.28333333333333333</c:v>
                </c:pt>
                <c:pt idx="18">
                  <c:v>0.3</c:v>
                </c:pt>
                <c:pt idx="19">
                  <c:v>0.31666666666666665</c:v>
                </c:pt>
                <c:pt idx="20">
                  <c:v>0.33333333333333331</c:v>
                </c:pt>
                <c:pt idx="21">
                  <c:v>0.35</c:v>
                </c:pt>
                <c:pt idx="22">
                  <c:v>0.36666666666666664</c:v>
                </c:pt>
                <c:pt idx="23">
                  <c:v>0.3833333333333333</c:v>
                </c:pt>
                <c:pt idx="24">
                  <c:v>0.39999999999999997</c:v>
                </c:pt>
                <c:pt idx="25">
                  <c:v>0.41666666666666663</c:v>
                </c:pt>
                <c:pt idx="26">
                  <c:v>0.43333333333333329</c:v>
                </c:pt>
                <c:pt idx="27">
                  <c:v>0.44999999999999996</c:v>
                </c:pt>
                <c:pt idx="28">
                  <c:v>0.46666666666666662</c:v>
                </c:pt>
                <c:pt idx="29">
                  <c:v>0.48333333333333328</c:v>
                </c:pt>
                <c:pt idx="30">
                  <c:v>0.49999999999999994</c:v>
                </c:pt>
              </c:numCache>
            </c:numRef>
          </c:xVal>
          <c:yVal>
            <c:numRef>
              <c:f>Calc!$H$73:$H$103</c:f>
              <c:numCache>
                <c:formatCode>General</c:formatCode>
                <c:ptCount val="31"/>
                <c:pt idx="0">
                  <c:v>-1.6775396085743785E-2</c:v>
                </c:pt>
                <c:pt idx="1">
                  <c:v>-0.81081081081080908</c:v>
                </c:pt>
                <c:pt idx="2">
                  <c:v>-1.5578093306288034</c:v>
                </c:pt>
                <c:pt idx="3">
                  <c:v>-2.1891891891891935</c:v>
                </c:pt>
                <c:pt idx="4">
                  <c:v>-2.6731639401322687</c:v>
                </c:pt>
                <c:pt idx="5">
                  <c:v>-2.9999999999999969</c:v>
                </c:pt>
                <c:pt idx="6">
                  <c:v>-3.1787104883956165</c:v>
                </c:pt>
                <c:pt idx="7">
                  <c:v>-3.2307692307692326</c:v>
                </c:pt>
                <c:pt idx="8">
                  <c:v>-3.1834196891191722</c:v>
                </c:pt>
                <c:pt idx="9">
                  <c:v>-3.0643127364438834</c:v>
                </c:pt>
                <c:pt idx="10">
                  <c:v>-2.8981132075471705</c:v>
                </c:pt>
                <c:pt idx="11">
                  <c:v>-2.7049180327868849</c:v>
                </c:pt>
                <c:pt idx="12">
                  <c:v>-2.4999698595454789</c:v>
                </c:pt>
                <c:pt idx="13">
                  <c:v>-2.2941176470588229</c:v>
                </c:pt>
                <c:pt idx="14">
                  <c:v>-2.0945998597366176</c:v>
                </c:pt>
                <c:pt idx="15">
                  <c:v>-1.9058823529411772</c:v>
                </c:pt>
                <c:pt idx="16">
                  <c:v>-1.730411761392441</c:v>
                </c:pt>
                <c:pt idx="17">
                  <c:v>-1.5692307692307685</c:v>
                </c:pt>
                <c:pt idx="18">
                  <c:v>-1.4224498662337368</c:v>
                </c:pt>
                <c:pt idx="19">
                  <c:v>-1.2895927601809964</c:v>
                </c:pt>
                <c:pt idx="20">
                  <c:v>-1.1698400609291706</c:v>
                </c:pt>
                <c:pt idx="21">
                  <c:v>-1.0621955788684896</c:v>
                </c:pt>
                <c:pt idx="22">
                  <c:v>-0.96559606812207122</c:v>
                </c:pt>
                <c:pt idx="23">
                  <c:v>-0.87898089171974603</c:v>
                </c:pt>
                <c:pt idx="24">
                  <c:v>-0.80133401090163559</c:v>
                </c:pt>
                <c:pt idx="25">
                  <c:v>-0.7317073170731706</c:v>
                </c:pt>
                <c:pt idx="26">
                  <c:v>-0.66923169734425536</c:v>
                </c:pt>
                <c:pt idx="27">
                  <c:v>-0.6131202691337263</c:v>
                </c:pt>
                <c:pt idx="28">
                  <c:v>-0.56266680621696552</c:v>
                </c:pt>
                <c:pt idx="29">
                  <c:v>-0.51724137931034442</c:v>
                </c:pt>
                <c:pt idx="30">
                  <c:v>-0.47418169088045065</c:v>
                </c:pt>
              </c:numCache>
            </c:numRef>
          </c:yVal>
          <c:smooth val="0"/>
          <c:extLst>
            <c:ext xmlns:c16="http://schemas.microsoft.com/office/drawing/2014/chart" uri="{C3380CC4-5D6E-409C-BE32-E72D297353CC}">
              <c16:uniqueId val="{00000002-5CAD-4A4D-8C48-569F6D34D462}"/>
            </c:ext>
          </c:extLst>
        </c:ser>
        <c:dLbls>
          <c:showLegendKey val="0"/>
          <c:showVal val="0"/>
          <c:showCatName val="0"/>
          <c:showSerName val="0"/>
          <c:showPercent val="0"/>
          <c:showBubbleSize val="0"/>
        </c:dLbls>
        <c:axId val="217697680"/>
        <c:axId val="217699120"/>
      </c:scatterChart>
      <c:valAx>
        <c:axId val="217697680"/>
        <c:scaling>
          <c:orientation val="minMax"/>
          <c:max val="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17699120"/>
        <c:crosses val="autoZero"/>
        <c:crossBetween val="midCat"/>
      </c:valAx>
      <c:valAx>
        <c:axId val="21769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1769768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y'=COS(x)</c:v>
          </c:tx>
          <c:spPr>
            <a:ln w="19050" cap="rnd">
              <a:solidFill>
                <a:schemeClr val="accent1"/>
              </a:solidFill>
              <a:round/>
            </a:ln>
            <a:effectLst/>
          </c:spPr>
          <c:marker>
            <c:symbol val="none"/>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Calc!$E$33:$E$63</c:f>
              <c:numCache>
                <c:formatCode>General</c:formatCode>
                <c:ptCount val="31"/>
                <c:pt idx="0">
                  <c:v>6.1257422745431001E-17</c:v>
                </c:pt>
                <c:pt idx="1">
                  <c:v>0.15643446504023092</c:v>
                </c:pt>
                <c:pt idx="2">
                  <c:v>0.30901699437494745</c:v>
                </c:pt>
                <c:pt idx="3">
                  <c:v>0.4539904997395468</c:v>
                </c:pt>
                <c:pt idx="4">
                  <c:v>0.58778525229247314</c:v>
                </c:pt>
                <c:pt idx="5">
                  <c:v>0.70710678118654757</c:v>
                </c:pt>
                <c:pt idx="6">
                  <c:v>0.80901699437494745</c:v>
                </c:pt>
                <c:pt idx="7">
                  <c:v>0.8910065241883679</c:v>
                </c:pt>
                <c:pt idx="8">
                  <c:v>0.95105651629515353</c:v>
                </c:pt>
                <c:pt idx="9">
                  <c:v>0.98768834059513777</c:v>
                </c:pt>
                <c:pt idx="10">
                  <c:v>1</c:v>
                </c:pt>
                <c:pt idx="11">
                  <c:v>0.98768834059513777</c:v>
                </c:pt>
                <c:pt idx="12">
                  <c:v>0.95105651629515353</c:v>
                </c:pt>
                <c:pt idx="13">
                  <c:v>0.8910065241883679</c:v>
                </c:pt>
                <c:pt idx="14">
                  <c:v>0.80901699437494745</c:v>
                </c:pt>
                <c:pt idx="15">
                  <c:v>0.70710678118654757</c:v>
                </c:pt>
                <c:pt idx="16">
                  <c:v>0.58778525229247314</c:v>
                </c:pt>
                <c:pt idx="17">
                  <c:v>0.4539904997395468</c:v>
                </c:pt>
                <c:pt idx="18">
                  <c:v>0.30901699437494745</c:v>
                </c:pt>
                <c:pt idx="19">
                  <c:v>0.15643446504023092</c:v>
                </c:pt>
                <c:pt idx="20">
                  <c:v>6.1257422745431001E-17</c:v>
                </c:pt>
                <c:pt idx="21">
                  <c:v>-0.15643446504023081</c:v>
                </c:pt>
                <c:pt idx="22">
                  <c:v>-0.30901699437494734</c:v>
                </c:pt>
                <c:pt idx="23">
                  <c:v>-0.45399049973954669</c:v>
                </c:pt>
                <c:pt idx="24">
                  <c:v>-0.58778525229247303</c:v>
                </c:pt>
                <c:pt idx="25">
                  <c:v>-0.70710678118654746</c:v>
                </c:pt>
                <c:pt idx="26">
                  <c:v>-0.80901699437494734</c:v>
                </c:pt>
                <c:pt idx="27">
                  <c:v>-0.89100652418836779</c:v>
                </c:pt>
                <c:pt idx="28">
                  <c:v>-0.95105651629515353</c:v>
                </c:pt>
                <c:pt idx="29">
                  <c:v>-0.98768834059513766</c:v>
                </c:pt>
                <c:pt idx="30">
                  <c:v>-1</c:v>
                </c:pt>
              </c:numCache>
            </c:numRef>
          </c:yVal>
          <c:smooth val="0"/>
          <c:extLst>
            <c:ext xmlns:c16="http://schemas.microsoft.com/office/drawing/2014/chart" uri="{C3380CC4-5D6E-409C-BE32-E72D297353CC}">
              <c16:uniqueId val="{00000007-D3D5-45AA-9FA9-A6781BA991DA}"/>
            </c:ext>
          </c:extLst>
        </c:ser>
        <c:ser>
          <c:idx val="2"/>
          <c:order val="1"/>
          <c:tx>
            <c:v>∆y/∆x</c:v>
          </c:tx>
          <c:spPr>
            <a:ln w="19050" cap="rnd">
              <a:noFill/>
              <a:round/>
            </a:ln>
            <a:effectLst/>
          </c:spPr>
          <c:marker>
            <c:symbol val="x"/>
            <c:size val="5"/>
            <c:spPr>
              <a:noFill/>
              <a:ln w="6350">
                <a:solidFill>
                  <a:schemeClr val="tx1"/>
                </a:solidFill>
              </a:ln>
              <a:effectLst/>
            </c:spPr>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Calc!$I$33:$I$63</c:f>
              <c:numCache>
                <c:formatCode>General</c:formatCode>
                <c:ptCount val="31"/>
                <c:pt idx="0">
                  <c:v>9.6496888053276386E-4</c:v>
                </c:pt>
                <c:pt idx="1">
                  <c:v>0.15579194727527892</c:v>
                </c:pt>
                <c:pt idx="2">
                  <c:v>0.30774777976481099</c:v>
                </c:pt>
                <c:pt idx="3">
                  <c:v>0.45212584056020838</c:v>
                </c:pt>
                <c:pt idx="4">
                  <c:v>0.58537106264137784</c:v>
                </c:pt>
                <c:pt idx="5">
                  <c:v>0.70420250642514137</c:v>
                </c:pt>
                <c:pt idx="6">
                  <c:v>0.80569414738659129</c:v>
                </c:pt>
                <c:pt idx="7">
                  <c:v>0.88734692449381225</c:v>
                </c:pt>
                <c:pt idx="8">
                  <c:v>0.94715027538439323</c:v>
                </c:pt>
                <c:pt idx="9">
                  <c:v>0.98363164308346596</c:v>
                </c:pt>
                <c:pt idx="10">
                  <c:v>0.99589273524356137</c:v>
                </c:pt>
                <c:pt idx="11">
                  <c:v>0.98363164308346596</c:v>
                </c:pt>
                <c:pt idx="12">
                  <c:v>0.94715027538439323</c:v>
                </c:pt>
                <c:pt idx="13">
                  <c:v>0.88734692449381225</c:v>
                </c:pt>
                <c:pt idx="14">
                  <c:v>0.80569414738659129</c:v>
                </c:pt>
                <c:pt idx="15">
                  <c:v>0.70420250642514137</c:v>
                </c:pt>
                <c:pt idx="16">
                  <c:v>0.58537106264137784</c:v>
                </c:pt>
                <c:pt idx="17">
                  <c:v>0.45212584056020838</c:v>
                </c:pt>
                <c:pt idx="18">
                  <c:v>0.30774777976481099</c:v>
                </c:pt>
                <c:pt idx="19">
                  <c:v>0.15579194727527892</c:v>
                </c:pt>
                <c:pt idx="20">
                  <c:v>0</c:v>
                </c:pt>
                <c:pt idx="21">
                  <c:v>-0.15579194727527859</c:v>
                </c:pt>
                <c:pt idx="22">
                  <c:v>-0.30774777976481066</c:v>
                </c:pt>
                <c:pt idx="23">
                  <c:v>-0.45212584056020877</c:v>
                </c:pt>
                <c:pt idx="24">
                  <c:v>-0.58537106264137784</c:v>
                </c:pt>
                <c:pt idx="25">
                  <c:v>-0.70420250642514104</c:v>
                </c:pt>
                <c:pt idx="26">
                  <c:v>-0.80569414738659129</c:v>
                </c:pt>
                <c:pt idx="27">
                  <c:v>-0.88734692449381225</c:v>
                </c:pt>
                <c:pt idx="28">
                  <c:v>-0.94715027538439323</c:v>
                </c:pt>
                <c:pt idx="29">
                  <c:v>-0.98363164308346596</c:v>
                </c:pt>
                <c:pt idx="30">
                  <c:v>-1.0081538274036568</c:v>
                </c:pt>
              </c:numCache>
            </c:numRef>
          </c:yVal>
          <c:smooth val="0"/>
          <c:extLst>
            <c:ext xmlns:c16="http://schemas.microsoft.com/office/drawing/2014/chart" uri="{C3380CC4-5D6E-409C-BE32-E72D297353CC}">
              <c16:uniqueId val="{00000002-D3D5-45AA-9FA9-A6781BA991DA}"/>
            </c:ext>
          </c:extLst>
        </c:ser>
        <c:ser>
          <c:idx val="1"/>
          <c:order val="2"/>
          <c:tx>
            <c:v>y''=-SIN(x)</c:v>
          </c:tx>
          <c:spPr>
            <a:ln w="19050" cap="rnd">
              <a:solidFill>
                <a:schemeClr val="accent2"/>
              </a:solidFill>
              <a:round/>
            </a:ln>
            <a:effectLst/>
          </c:spPr>
          <c:marker>
            <c:symbol val="none"/>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Calc!$F$33:$F$63</c:f>
              <c:numCache>
                <c:formatCode>General</c:formatCode>
                <c:ptCount val="31"/>
                <c:pt idx="0">
                  <c:v>1</c:v>
                </c:pt>
                <c:pt idx="1">
                  <c:v>0.98768834059513777</c:v>
                </c:pt>
                <c:pt idx="2">
                  <c:v>0.95105651629515353</c:v>
                </c:pt>
                <c:pt idx="3">
                  <c:v>0.89100652418836779</c:v>
                </c:pt>
                <c:pt idx="4">
                  <c:v>0.80901699437494745</c:v>
                </c:pt>
                <c:pt idx="5">
                  <c:v>0.70710678118654746</c:v>
                </c:pt>
                <c:pt idx="6">
                  <c:v>0.58778525229247314</c:v>
                </c:pt>
                <c:pt idx="7">
                  <c:v>0.45399049973954675</c:v>
                </c:pt>
                <c:pt idx="8">
                  <c:v>0.3090169943749474</c:v>
                </c:pt>
                <c:pt idx="9">
                  <c:v>0.15643446504023087</c:v>
                </c:pt>
                <c:pt idx="10">
                  <c:v>0</c:v>
                </c:pt>
                <c:pt idx="11">
                  <c:v>-0.15643446504023087</c:v>
                </c:pt>
                <c:pt idx="12">
                  <c:v>-0.3090169943749474</c:v>
                </c:pt>
                <c:pt idx="13">
                  <c:v>-0.45399049973954675</c:v>
                </c:pt>
                <c:pt idx="14">
                  <c:v>-0.58778525229247314</c:v>
                </c:pt>
                <c:pt idx="15">
                  <c:v>-0.70710678118654746</c:v>
                </c:pt>
                <c:pt idx="16">
                  <c:v>-0.80901699437494745</c:v>
                </c:pt>
                <c:pt idx="17">
                  <c:v>-0.89100652418836779</c:v>
                </c:pt>
                <c:pt idx="18">
                  <c:v>-0.95105651629515353</c:v>
                </c:pt>
                <c:pt idx="19">
                  <c:v>-0.98768834059513777</c:v>
                </c:pt>
                <c:pt idx="20">
                  <c:v>-1</c:v>
                </c:pt>
                <c:pt idx="21">
                  <c:v>-0.98768834059513777</c:v>
                </c:pt>
                <c:pt idx="22">
                  <c:v>-0.95105651629515364</c:v>
                </c:pt>
                <c:pt idx="23">
                  <c:v>-0.8910065241883679</c:v>
                </c:pt>
                <c:pt idx="24">
                  <c:v>-0.80901699437494745</c:v>
                </c:pt>
                <c:pt idx="25">
                  <c:v>-0.70710678118654757</c:v>
                </c:pt>
                <c:pt idx="26">
                  <c:v>-0.58778525229247325</c:v>
                </c:pt>
                <c:pt idx="27">
                  <c:v>-0.45399049973954686</c:v>
                </c:pt>
                <c:pt idx="28">
                  <c:v>-0.30901699437494751</c:v>
                </c:pt>
                <c:pt idx="29">
                  <c:v>-0.15643446504023098</c:v>
                </c:pt>
                <c:pt idx="30">
                  <c:v>-1.22514845490862E-16</c:v>
                </c:pt>
              </c:numCache>
            </c:numRef>
          </c:yVal>
          <c:smooth val="0"/>
          <c:extLst>
            <c:ext xmlns:c16="http://schemas.microsoft.com/office/drawing/2014/chart" uri="{C3380CC4-5D6E-409C-BE32-E72D297353CC}">
              <c16:uniqueId val="{00000008-D3D5-45AA-9FA9-A6781BA991DA}"/>
            </c:ext>
          </c:extLst>
        </c:ser>
        <c:ser>
          <c:idx val="3"/>
          <c:order val="3"/>
          <c:tx>
            <c:strRef>
              <c:f>Calc!$K$32</c:f>
              <c:strCache>
                <c:ptCount val="1"/>
                <c:pt idx="0">
                  <c:v>∆2y/∆x2</c:v>
                </c:pt>
              </c:strCache>
            </c:strRef>
          </c:tx>
          <c:spPr>
            <a:ln w="19050" cap="rnd">
              <a:noFill/>
              <a:round/>
            </a:ln>
            <a:effectLst/>
          </c:spPr>
          <c:marker>
            <c:symbol val="triangle"/>
            <c:size val="5"/>
            <c:spPr>
              <a:noFill/>
              <a:ln w="9525">
                <a:solidFill>
                  <a:schemeClr val="tx1"/>
                </a:solidFill>
              </a:ln>
              <a:effectLst/>
            </c:spPr>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Calc!$K$33:$K$63</c:f>
              <c:numCache>
                <c:formatCode>General</c:formatCode>
                <c:ptCount val="31"/>
                <c:pt idx="0">
                  <c:v>1.0222157224724859</c:v>
                </c:pt>
                <c:pt idx="1">
                  <c:v>0.98565915742023746</c:v>
                </c:pt>
                <c:pt idx="2">
                  <c:v>0.94910259236800709</c:v>
                </c:pt>
                <c:pt idx="3">
                  <c:v>0.88917597160076722</c:v>
                </c:pt>
                <c:pt idx="4">
                  <c:v>0.80735488740687145</c:v>
                </c:pt>
                <c:pt idx="5">
                  <c:v>0.70565404642773977</c:v>
                </c:pt>
                <c:pt idx="6">
                  <c:v>0.58657766089407115</c:v>
                </c:pt>
                <c:pt idx="7">
                  <c:v>0.45305778660952656</c:v>
                </c:pt>
                <c:pt idx="8">
                  <c:v>0.3083821260060769</c:v>
                </c:pt>
                <c:pt idx="9">
                  <c:v>0.15611307399875865</c:v>
                </c:pt>
                <c:pt idx="10">
                  <c:v>0</c:v>
                </c:pt>
                <c:pt idx="11">
                  <c:v>-0.15611307399875865</c:v>
                </c:pt>
                <c:pt idx="12">
                  <c:v>-0.30838212600607801</c:v>
                </c:pt>
                <c:pt idx="13">
                  <c:v>-0.45305778660952428</c:v>
                </c:pt>
                <c:pt idx="14">
                  <c:v>-0.58657766089407115</c:v>
                </c:pt>
                <c:pt idx="15">
                  <c:v>-0.70565404642773977</c:v>
                </c:pt>
                <c:pt idx="16">
                  <c:v>-0.80735488740687145</c:v>
                </c:pt>
                <c:pt idx="17">
                  <c:v>-0.88917597160076722</c:v>
                </c:pt>
                <c:pt idx="18">
                  <c:v>-0.94910259236800709</c:v>
                </c:pt>
                <c:pt idx="19">
                  <c:v>-0.98565915742023302</c:v>
                </c:pt>
                <c:pt idx="20">
                  <c:v>-0.9979455228015689</c:v>
                </c:pt>
                <c:pt idx="21">
                  <c:v>-0.98565915742023302</c:v>
                </c:pt>
                <c:pt idx="22">
                  <c:v>-0.94910259236801164</c:v>
                </c:pt>
                <c:pt idx="23">
                  <c:v>-0.88917597160077166</c:v>
                </c:pt>
                <c:pt idx="24">
                  <c:v>-0.80735488740686245</c:v>
                </c:pt>
                <c:pt idx="25">
                  <c:v>-0.70565404642774421</c:v>
                </c:pt>
                <c:pt idx="26">
                  <c:v>-0.58657766089407115</c:v>
                </c:pt>
                <c:pt idx="27">
                  <c:v>-0.45305778660952656</c:v>
                </c:pt>
                <c:pt idx="28">
                  <c:v>-0.3083821260060769</c:v>
                </c:pt>
                <c:pt idx="29">
                  <c:v>-0.15611307399875818</c:v>
                </c:pt>
                <c:pt idx="30">
                  <c:v>-3.844021991438329E-3</c:v>
                </c:pt>
              </c:numCache>
            </c:numRef>
          </c:yVal>
          <c:smooth val="0"/>
          <c:extLst>
            <c:ext xmlns:c16="http://schemas.microsoft.com/office/drawing/2014/chart" uri="{C3380CC4-5D6E-409C-BE32-E72D297353CC}">
              <c16:uniqueId val="{00000004-D3D5-45AA-9FA9-A6781BA991DA}"/>
            </c:ext>
          </c:extLst>
        </c:ser>
        <c:ser>
          <c:idx val="6"/>
          <c:order val="4"/>
          <c:tx>
            <c:v>y'''=-COS(x)</c:v>
          </c:tx>
          <c:spPr>
            <a:ln w="19050" cap="rnd">
              <a:solidFill>
                <a:schemeClr val="accent3">
                  <a:lumMod val="75000"/>
                </a:schemeClr>
              </a:solidFill>
              <a:round/>
            </a:ln>
            <a:effectLst/>
          </c:spPr>
          <c:marker>
            <c:symbol val="none"/>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Calc!$G$33:$G$63</c:f>
              <c:numCache>
                <c:formatCode>General</c:formatCode>
                <c:ptCount val="31"/>
                <c:pt idx="0">
                  <c:v>-6.1257422745431001E-17</c:v>
                </c:pt>
                <c:pt idx="1">
                  <c:v>-0.15643446504023092</c:v>
                </c:pt>
                <c:pt idx="2">
                  <c:v>-0.30901699437494745</c:v>
                </c:pt>
                <c:pt idx="3">
                  <c:v>-0.4539904997395468</c:v>
                </c:pt>
                <c:pt idx="4">
                  <c:v>-0.58778525229247314</c:v>
                </c:pt>
                <c:pt idx="5">
                  <c:v>-0.70710678118654757</c:v>
                </c:pt>
                <c:pt idx="6">
                  <c:v>-0.80901699437494745</c:v>
                </c:pt>
                <c:pt idx="7">
                  <c:v>-0.8910065241883679</c:v>
                </c:pt>
                <c:pt idx="8">
                  <c:v>-0.95105651629515353</c:v>
                </c:pt>
                <c:pt idx="9">
                  <c:v>-0.98768834059513777</c:v>
                </c:pt>
                <c:pt idx="10">
                  <c:v>-1</c:v>
                </c:pt>
                <c:pt idx="11">
                  <c:v>-0.98768834059513777</c:v>
                </c:pt>
                <c:pt idx="12">
                  <c:v>-0.95105651629515353</c:v>
                </c:pt>
                <c:pt idx="13">
                  <c:v>-0.8910065241883679</c:v>
                </c:pt>
                <c:pt idx="14">
                  <c:v>-0.80901699437494745</c:v>
                </c:pt>
                <c:pt idx="15">
                  <c:v>-0.70710678118654757</c:v>
                </c:pt>
                <c:pt idx="16">
                  <c:v>-0.58778525229247314</c:v>
                </c:pt>
                <c:pt idx="17">
                  <c:v>-0.4539904997395468</c:v>
                </c:pt>
                <c:pt idx="18">
                  <c:v>-0.30901699437494745</c:v>
                </c:pt>
                <c:pt idx="19">
                  <c:v>-0.15643446504023092</c:v>
                </c:pt>
                <c:pt idx="20">
                  <c:v>-6.1257422745431001E-17</c:v>
                </c:pt>
                <c:pt idx="21">
                  <c:v>0.15643446504023081</c:v>
                </c:pt>
                <c:pt idx="22">
                  <c:v>0.30901699437494734</c:v>
                </c:pt>
                <c:pt idx="23">
                  <c:v>0.45399049973954669</c:v>
                </c:pt>
                <c:pt idx="24">
                  <c:v>0.58778525229247303</c:v>
                </c:pt>
                <c:pt idx="25">
                  <c:v>0.70710678118654746</c:v>
                </c:pt>
                <c:pt idx="26">
                  <c:v>0.80901699437494734</c:v>
                </c:pt>
                <c:pt idx="27">
                  <c:v>0.89100652418836779</c:v>
                </c:pt>
                <c:pt idx="28">
                  <c:v>0.95105651629515353</c:v>
                </c:pt>
                <c:pt idx="29">
                  <c:v>0.98768834059513766</c:v>
                </c:pt>
                <c:pt idx="30">
                  <c:v>1</c:v>
                </c:pt>
              </c:numCache>
            </c:numRef>
          </c:yVal>
          <c:smooth val="0"/>
          <c:extLst>
            <c:ext xmlns:c16="http://schemas.microsoft.com/office/drawing/2014/chart" uri="{C3380CC4-5D6E-409C-BE32-E72D297353CC}">
              <c16:uniqueId val="{00000009-D3D5-45AA-9FA9-A6781BA991DA}"/>
            </c:ext>
          </c:extLst>
        </c:ser>
        <c:ser>
          <c:idx val="4"/>
          <c:order val="5"/>
          <c:tx>
            <c:strRef>
              <c:f>Calc!$M$32</c:f>
              <c:strCache>
                <c:ptCount val="1"/>
                <c:pt idx="0">
                  <c:v>∆3y/∆x3</c:v>
                </c:pt>
              </c:strCache>
            </c:strRef>
          </c:tx>
          <c:spPr>
            <a:ln w="19050" cap="rnd">
              <a:noFill/>
              <a:round/>
            </a:ln>
            <a:effectLst/>
          </c:spPr>
          <c:marker>
            <c:symbol val="circle"/>
            <c:size val="5"/>
            <c:spPr>
              <a:noFill/>
              <a:ln w="9525">
                <a:solidFill>
                  <a:schemeClr val="tx1"/>
                </a:solidFill>
              </a:ln>
              <a:effectLst/>
            </c:spPr>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Calc!$M$33:$M$63</c:f>
              <c:numCache>
                <c:formatCode>General</c:formatCode>
                <c:ptCount val="31"/>
                <c:pt idx="0">
                  <c:v>-9.558727978423609E-3</c:v>
                </c:pt>
                <c:pt idx="1">
                  <c:v>-0.158337123473552</c:v>
                </c:pt>
                <c:pt idx="2">
                  <c:v>-0.30711551896845124</c:v>
                </c:pt>
                <c:pt idx="3">
                  <c:v>-0.4511969583299264</c:v>
                </c:pt>
                <c:pt idx="4">
                  <c:v>-0.58416843114056505</c:v>
                </c:pt>
                <c:pt idx="5">
                  <c:v>-0.7027557384326244</c:v>
                </c:pt>
                <c:pt idx="6">
                  <c:v>-0.80403886713186667</c:v>
                </c:pt>
                <c:pt idx="7">
                  <c:v>-0.88552389047036217</c:v>
                </c:pt>
                <c:pt idx="8">
                  <c:v>-0.94520437674011959</c:v>
                </c:pt>
                <c:pt idx="9">
                  <c:v>-0.98161079430109732</c:v>
                </c:pt>
                <c:pt idx="10">
                  <c:v>-0.99384669632693112</c:v>
                </c:pt>
                <c:pt idx="11">
                  <c:v>-0.98161079430110099</c:v>
                </c:pt>
                <c:pt idx="12">
                  <c:v>-0.94520437674012681</c:v>
                </c:pt>
                <c:pt idx="13">
                  <c:v>-0.88552389047035862</c:v>
                </c:pt>
                <c:pt idx="14">
                  <c:v>-0.80403886713187389</c:v>
                </c:pt>
                <c:pt idx="15">
                  <c:v>-0.7027557384326244</c:v>
                </c:pt>
                <c:pt idx="16">
                  <c:v>-0.58416843114056505</c:v>
                </c:pt>
                <c:pt idx="17">
                  <c:v>-0.4511969583299264</c:v>
                </c:pt>
                <c:pt idx="18">
                  <c:v>-0.30711551896845124</c:v>
                </c:pt>
                <c:pt idx="19">
                  <c:v>-0.15547187627189835</c:v>
                </c:pt>
                <c:pt idx="20">
                  <c:v>0</c:v>
                </c:pt>
                <c:pt idx="21">
                  <c:v>0.15547187627188402</c:v>
                </c:pt>
                <c:pt idx="22">
                  <c:v>0.3071155189684226</c:v>
                </c:pt>
                <c:pt idx="23">
                  <c:v>0.45119695832996937</c:v>
                </c:pt>
                <c:pt idx="24">
                  <c:v>0.58416843114056505</c:v>
                </c:pt>
                <c:pt idx="25">
                  <c:v>0.70275573843259576</c:v>
                </c:pt>
                <c:pt idx="26">
                  <c:v>0.804038867131881</c:v>
                </c:pt>
                <c:pt idx="27">
                  <c:v>0.88552389047036217</c:v>
                </c:pt>
                <c:pt idx="28">
                  <c:v>0.94520437674012103</c:v>
                </c:pt>
                <c:pt idx="29">
                  <c:v>0.99354540781043355</c:v>
                </c:pt>
                <c:pt idx="30">
                  <c:v>1.0418864388807818</c:v>
                </c:pt>
              </c:numCache>
            </c:numRef>
          </c:yVal>
          <c:smooth val="0"/>
          <c:extLst>
            <c:ext xmlns:c16="http://schemas.microsoft.com/office/drawing/2014/chart" uri="{C3380CC4-5D6E-409C-BE32-E72D297353CC}">
              <c16:uniqueId val="{00000005-D3D5-45AA-9FA9-A6781BA991DA}"/>
            </c:ext>
          </c:extLst>
        </c:ser>
        <c:ser>
          <c:idx val="7"/>
          <c:order val="6"/>
          <c:tx>
            <c:v>y''''=SIN(x)</c:v>
          </c:tx>
          <c:spPr>
            <a:ln w="19050" cap="rnd">
              <a:solidFill>
                <a:schemeClr val="accent4"/>
              </a:solidFill>
              <a:round/>
            </a:ln>
            <a:effectLst/>
          </c:spPr>
          <c:marker>
            <c:symbol val="none"/>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Calc!$D$33:$D$63</c:f>
              <c:numCache>
                <c:formatCode>General</c:formatCode>
                <c:ptCount val="31"/>
                <c:pt idx="0">
                  <c:v>-1</c:v>
                </c:pt>
                <c:pt idx="1">
                  <c:v>-0.98768834059513777</c:v>
                </c:pt>
                <c:pt idx="2">
                  <c:v>-0.95105651629515353</c:v>
                </c:pt>
                <c:pt idx="3">
                  <c:v>-0.89100652418836779</c:v>
                </c:pt>
                <c:pt idx="4">
                  <c:v>-0.80901699437494745</c:v>
                </c:pt>
                <c:pt idx="5">
                  <c:v>-0.70710678118654746</c:v>
                </c:pt>
                <c:pt idx="6">
                  <c:v>-0.58778525229247314</c:v>
                </c:pt>
                <c:pt idx="7">
                  <c:v>-0.45399049973954675</c:v>
                </c:pt>
                <c:pt idx="8">
                  <c:v>-0.3090169943749474</c:v>
                </c:pt>
                <c:pt idx="9">
                  <c:v>-0.15643446504023087</c:v>
                </c:pt>
                <c:pt idx="10">
                  <c:v>0</c:v>
                </c:pt>
                <c:pt idx="11">
                  <c:v>0.15643446504023087</c:v>
                </c:pt>
                <c:pt idx="12">
                  <c:v>0.3090169943749474</c:v>
                </c:pt>
                <c:pt idx="13">
                  <c:v>0.45399049973954675</c:v>
                </c:pt>
                <c:pt idx="14">
                  <c:v>0.58778525229247314</c:v>
                </c:pt>
                <c:pt idx="15">
                  <c:v>0.70710678118654746</c:v>
                </c:pt>
                <c:pt idx="16">
                  <c:v>0.80901699437494745</c:v>
                </c:pt>
                <c:pt idx="17">
                  <c:v>0.89100652418836779</c:v>
                </c:pt>
                <c:pt idx="18">
                  <c:v>0.95105651629515353</c:v>
                </c:pt>
                <c:pt idx="19">
                  <c:v>0.98768834059513777</c:v>
                </c:pt>
                <c:pt idx="20">
                  <c:v>1</c:v>
                </c:pt>
                <c:pt idx="21">
                  <c:v>0.98768834059513777</c:v>
                </c:pt>
                <c:pt idx="22">
                  <c:v>0.95105651629515364</c:v>
                </c:pt>
                <c:pt idx="23">
                  <c:v>0.8910065241883679</c:v>
                </c:pt>
                <c:pt idx="24">
                  <c:v>0.80901699437494745</c:v>
                </c:pt>
                <c:pt idx="25">
                  <c:v>0.70710678118654757</c:v>
                </c:pt>
                <c:pt idx="26">
                  <c:v>0.58778525229247325</c:v>
                </c:pt>
                <c:pt idx="27">
                  <c:v>0.45399049973954686</c:v>
                </c:pt>
                <c:pt idx="28">
                  <c:v>0.30901699437494751</c:v>
                </c:pt>
                <c:pt idx="29">
                  <c:v>0.15643446504023098</c:v>
                </c:pt>
                <c:pt idx="30">
                  <c:v>1.22514845490862E-16</c:v>
                </c:pt>
              </c:numCache>
            </c:numRef>
          </c:yVal>
          <c:smooth val="0"/>
          <c:extLst>
            <c:ext xmlns:c16="http://schemas.microsoft.com/office/drawing/2014/chart" uri="{C3380CC4-5D6E-409C-BE32-E72D297353CC}">
              <c16:uniqueId val="{0000000A-D3D5-45AA-9FA9-A6781BA991DA}"/>
            </c:ext>
          </c:extLst>
        </c:ser>
        <c:ser>
          <c:idx val="5"/>
          <c:order val="7"/>
          <c:tx>
            <c:strRef>
              <c:f>Calc!$O$32</c:f>
              <c:strCache>
                <c:ptCount val="1"/>
                <c:pt idx="0">
                  <c:v>∆4y/∆x4</c:v>
                </c:pt>
              </c:strCache>
            </c:strRef>
          </c:tx>
          <c:spPr>
            <a:ln w="19050" cap="rnd">
              <a:noFill/>
              <a:round/>
            </a:ln>
            <a:effectLst/>
          </c:spPr>
          <c:marker>
            <c:symbol val="square"/>
            <c:size val="5"/>
            <c:spPr>
              <a:noFill/>
              <a:ln w="9525">
                <a:solidFill>
                  <a:schemeClr val="tx1"/>
                </a:solidFill>
              </a:ln>
              <a:effectLst/>
            </c:spPr>
          </c:marker>
          <c:xVal>
            <c:numRef>
              <c:f>Calc!$C$33:$C$63</c:f>
              <c:numCache>
                <c:formatCode>General</c:formatCode>
                <c:ptCount val="31"/>
                <c:pt idx="0">
                  <c:v>-1.5707963267948966</c:v>
                </c:pt>
                <c:pt idx="1">
                  <c:v>-1.4137166941154069</c:v>
                </c:pt>
                <c:pt idx="2">
                  <c:v>-1.2566370614359172</c:v>
                </c:pt>
                <c:pt idx="3">
                  <c:v>-1.0995574287564276</c:v>
                </c:pt>
                <c:pt idx="4">
                  <c:v>-0.94247779607693793</c:v>
                </c:pt>
                <c:pt idx="5">
                  <c:v>-0.78539816339744828</c:v>
                </c:pt>
                <c:pt idx="6">
                  <c:v>-0.62831853071795862</c:v>
                </c:pt>
                <c:pt idx="7">
                  <c:v>-0.47123889803846897</c:v>
                </c:pt>
                <c:pt idx="8">
                  <c:v>-0.31415926535897931</c:v>
                </c:pt>
                <c:pt idx="9">
                  <c:v>-0.15707963267948966</c:v>
                </c:pt>
                <c:pt idx="10">
                  <c:v>0</c:v>
                </c:pt>
                <c:pt idx="11">
                  <c:v>0.15707963267948966</c:v>
                </c:pt>
                <c:pt idx="12">
                  <c:v>0.31415926535897931</c:v>
                </c:pt>
                <c:pt idx="13">
                  <c:v>0.47123889803846897</c:v>
                </c:pt>
                <c:pt idx="14">
                  <c:v>0.62831853071795862</c:v>
                </c:pt>
                <c:pt idx="15">
                  <c:v>0.78539816339744828</c:v>
                </c:pt>
                <c:pt idx="16">
                  <c:v>0.94247779607693793</c:v>
                </c:pt>
                <c:pt idx="17">
                  <c:v>1.0995574287564276</c:v>
                </c:pt>
                <c:pt idx="18">
                  <c:v>1.2566370614359172</c:v>
                </c:pt>
                <c:pt idx="19">
                  <c:v>1.4137166941154069</c:v>
                </c:pt>
                <c:pt idx="20">
                  <c:v>1.5707963267948966</c:v>
                </c:pt>
                <c:pt idx="21">
                  <c:v>1.7278759594743862</c:v>
                </c:pt>
                <c:pt idx="22">
                  <c:v>1.8849555921538759</c:v>
                </c:pt>
                <c:pt idx="23">
                  <c:v>2.0420352248333655</c:v>
                </c:pt>
                <c:pt idx="24">
                  <c:v>2.1991148575128552</c:v>
                </c:pt>
                <c:pt idx="25">
                  <c:v>2.3561944901923448</c:v>
                </c:pt>
                <c:pt idx="26">
                  <c:v>2.5132741228718345</c:v>
                </c:pt>
                <c:pt idx="27">
                  <c:v>2.6703537555513241</c:v>
                </c:pt>
                <c:pt idx="28">
                  <c:v>2.8274333882308138</c:v>
                </c:pt>
                <c:pt idx="29">
                  <c:v>2.9845130209103035</c:v>
                </c:pt>
                <c:pt idx="30">
                  <c:v>3.1415926535897931</c:v>
                </c:pt>
              </c:numCache>
            </c:numRef>
          </c:xVal>
          <c:yVal>
            <c:numRef>
              <c:f>Calc!$O$33:$O$63</c:f>
              <c:numCache>
                <c:formatCode>General</c:formatCode>
                <c:ptCount val="31"/>
                <c:pt idx="0">
                  <c:v>-1.0667596885182999</c:v>
                </c:pt>
                <c:pt idx="1">
                  <c:v>-1.0069561856253983</c:v>
                </c:pt>
                <c:pt idx="2">
                  <c:v>-0.94715268273249686</c:v>
                </c:pt>
                <c:pt idx="3">
                  <c:v>-0.88734917984105421</c:v>
                </c:pt>
                <c:pt idx="4">
                  <c:v>-0.80569619520094482</c:v>
                </c:pt>
                <c:pt idx="5">
                  <c:v>-0.70420429627834147</c:v>
                </c:pt>
                <c:pt idx="6">
                  <c:v>-0.58537255046542036</c:v>
                </c:pt>
                <c:pt idx="7">
                  <c:v>-0.45212698971698112</c:v>
                </c:pt>
                <c:pt idx="8">
                  <c:v>-0.3077485619596268</c:v>
                </c:pt>
                <c:pt idx="9">
                  <c:v>-0.15579234324805769</c:v>
                </c:pt>
                <c:pt idx="10">
                  <c:v>0</c:v>
                </c:pt>
                <c:pt idx="11">
                  <c:v>0.15579234324810329</c:v>
                </c:pt>
                <c:pt idx="12">
                  <c:v>0.30774856195980915</c:v>
                </c:pt>
                <c:pt idx="13">
                  <c:v>0.4521269897171179</c:v>
                </c:pt>
                <c:pt idx="14">
                  <c:v>0.58537255046551151</c:v>
                </c:pt>
                <c:pt idx="15">
                  <c:v>0.70420429627834147</c:v>
                </c:pt>
                <c:pt idx="16">
                  <c:v>0.80569619520112723</c:v>
                </c:pt>
                <c:pt idx="17">
                  <c:v>0.88734917984105421</c:v>
                </c:pt>
                <c:pt idx="18">
                  <c:v>0.94715268273249686</c:v>
                </c:pt>
                <c:pt idx="19">
                  <c:v>0.98363414315654518</c:v>
                </c:pt>
                <c:pt idx="20">
                  <c:v>0.99589526647935367</c:v>
                </c:pt>
                <c:pt idx="21">
                  <c:v>0.98363414315599806</c:v>
                </c:pt>
                <c:pt idx="22">
                  <c:v>0.94715268273322628</c:v>
                </c:pt>
                <c:pt idx="23">
                  <c:v>0.88734917984196604</c:v>
                </c:pt>
                <c:pt idx="24">
                  <c:v>0.80569619519966829</c:v>
                </c:pt>
                <c:pt idx="25">
                  <c:v>0.70420429627925318</c:v>
                </c:pt>
                <c:pt idx="26">
                  <c:v>0.58537255046487324</c:v>
                </c:pt>
                <c:pt idx="27">
                  <c:v>0.45212698971716347</c:v>
                </c:pt>
                <c:pt idx="28">
                  <c:v>0.30774856196019273</c:v>
                </c:pt>
                <c:pt idx="29">
                  <c:v>0.16337013420217342</c:v>
                </c:pt>
                <c:pt idx="30">
                  <c:v>1.8991706445430624E-2</c:v>
                </c:pt>
              </c:numCache>
            </c:numRef>
          </c:yVal>
          <c:smooth val="0"/>
          <c:extLst>
            <c:ext xmlns:c16="http://schemas.microsoft.com/office/drawing/2014/chart" uri="{C3380CC4-5D6E-409C-BE32-E72D297353CC}">
              <c16:uniqueId val="{00000006-D3D5-45AA-9FA9-A6781BA991DA}"/>
            </c:ext>
          </c:extLst>
        </c:ser>
        <c:dLbls>
          <c:showLegendKey val="0"/>
          <c:showVal val="0"/>
          <c:showCatName val="0"/>
          <c:showSerName val="0"/>
          <c:showPercent val="0"/>
          <c:showBubbleSize val="0"/>
        </c:dLbls>
        <c:axId val="217697680"/>
        <c:axId val="217699120"/>
      </c:scatterChart>
      <c:valAx>
        <c:axId val="217697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17699120"/>
        <c:crosses val="autoZero"/>
        <c:crossBetween val="midCat"/>
      </c:valAx>
      <c:valAx>
        <c:axId val="21769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1769768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171</xdr:row>
      <xdr:rowOff>85725</xdr:rowOff>
    </xdr:from>
    <xdr:to>
      <xdr:col>1</xdr:col>
      <xdr:colOff>440055</xdr:colOff>
      <xdr:row>173</xdr:row>
      <xdr:rowOff>148113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51377850"/>
          <a:ext cx="440055" cy="519588"/>
        </a:xfrm>
        <a:prstGeom prst="rect">
          <a:avLst/>
        </a:prstGeom>
        <a:solidFill>
          <a:schemeClr val="bg1"/>
        </a:solidFill>
        <a:ln w="28575">
          <a:solidFill>
            <a:schemeClr val="bg1"/>
          </a:solidFill>
        </a:ln>
      </xdr:spPr>
    </xdr:pic>
    <xdr:clientData/>
  </xdr:twoCellAnchor>
  <xdr:twoCellAnchor editAs="oneCell">
    <xdr:from>
      <xdr:col>11</xdr:col>
      <xdr:colOff>266700</xdr:colOff>
      <xdr:row>146</xdr:row>
      <xdr:rowOff>10194</xdr:rowOff>
    </xdr:from>
    <xdr:to>
      <xdr:col>17</xdr:col>
      <xdr:colOff>228037</xdr:colOff>
      <xdr:row>169</xdr:row>
      <xdr:rowOff>66675</xdr:rowOff>
    </xdr:to>
    <xdr:pic>
      <xdr:nvPicPr>
        <xdr:cNvPr id="2" name="Picture 1" descr="A screenshot of a computer&#10;&#10;Description automatically generated">
          <a:extLst>
            <a:ext uri="{FF2B5EF4-FFF2-40B4-BE49-F238E27FC236}">
              <a16:creationId xmlns:a16="http://schemas.microsoft.com/office/drawing/2014/main" id="{369F0D85-F51F-9ADC-58A8-43B952299C08}"/>
            </a:ext>
          </a:extLst>
        </xdr:cNvPr>
        <xdr:cNvPicPr>
          <a:picLocks noChangeAspect="1"/>
        </xdr:cNvPicPr>
      </xdr:nvPicPr>
      <xdr:blipFill>
        <a:blip xmlns:r="http://schemas.openxmlformats.org/officeDocument/2006/relationships" r:embed="rId2"/>
        <a:stretch>
          <a:fillRect/>
        </a:stretch>
      </xdr:blipFill>
      <xdr:spPr>
        <a:xfrm>
          <a:off x="8239125" y="27213594"/>
          <a:ext cx="4504762" cy="5352381"/>
        </a:xfrm>
        <a:prstGeom prst="rect">
          <a:avLst/>
        </a:prstGeom>
      </xdr:spPr>
    </xdr:pic>
    <xdr:clientData/>
  </xdr:twoCellAnchor>
  <xdr:twoCellAnchor editAs="oneCell">
    <xdr:from>
      <xdr:col>11</xdr:col>
      <xdr:colOff>419100</xdr:colOff>
      <xdr:row>6</xdr:row>
      <xdr:rowOff>200025</xdr:rowOff>
    </xdr:from>
    <xdr:to>
      <xdr:col>15</xdr:col>
      <xdr:colOff>571084</xdr:colOff>
      <xdr:row>17</xdr:row>
      <xdr:rowOff>47321</xdr:rowOff>
    </xdr:to>
    <xdr:pic>
      <xdr:nvPicPr>
        <xdr:cNvPr id="3" name="Picture 2" descr="A screenshot of a computer&#10;&#10;Description automatically generated">
          <a:extLst>
            <a:ext uri="{FF2B5EF4-FFF2-40B4-BE49-F238E27FC236}">
              <a16:creationId xmlns:a16="http://schemas.microsoft.com/office/drawing/2014/main" id="{968C0B02-94E7-4F62-9183-3188AC0A206D}"/>
            </a:ext>
          </a:extLst>
        </xdr:cNvPr>
        <xdr:cNvPicPr>
          <a:picLocks noChangeAspect="1"/>
        </xdr:cNvPicPr>
      </xdr:nvPicPr>
      <xdr:blipFill>
        <a:blip xmlns:r="http://schemas.openxmlformats.org/officeDocument/2006/relationships" r:embed="rId3"/>
        <a:stretch>
          <a:fillRect/>
        </a:stretch>
      </xdr:blipFill>
      <xdr:spPr>
        <a:xfrm>
          <a:off x="8391525" y="1809750"/>
          <a:ext cx="3323809" cy="2428571"/>
        </a:xfrm>
        <a:prstGeom prst="rect">
          <a:avLst/>
        </a:prstGeom>
        <a:ln>
          <a:no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342899</xdr:colOff>
      <xdr:row>23</xdr:row>
      <xdr:rowOff>19050</xdr:rowOff>
    </xdr:from>
    <xdr:to>
      <xdr:col>11</xdr:col>
      <xdr:colOff>257174</xdr:colOff>
      <xdr:row>43</xdr:row>
      <xdr:rowOff>95250</xdr:rowOff>
    </xdr:to>
    <xdr:graphicFrame macro="">
      <xdr:nvGraphicFramePr>
        <xdr:cNvPr id="2" name="Chart 1">
          <a:extLst>
            <a:ext uri="{FF2B5EF4-FFF2-40B4-BE49-F238E27FC236}">
              <a16:creationId xmlns:a16="http://schemas.microsoft.com/office/drawing/2014/main" id="{C1438886-6CAF-418B-8B66-FEDC54071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61</xdr:row>
      <xdr:rowOff>0</xdr:rowOff>
    </xdr:from>
    <xdr:to>
      <xdr:col>8</xdr:col>
      <xdr:colOff>152400</xdr:colOff>
      <xdr:row>78</xdr:row>
      <xdr:rowOff>19049</xdr:rowOff>
    </xdr:to>
    <xdr:graphicFrame macro="">
      <xdr:nvGraphicFramePr>
        <xdr:cNvPr id="3" name="Chart 2">
          <a:extLst>
            <a:ext uri="{FF2B5EF4-FFF2-40B4-BE49-F238E27FC236}">
              <a16:creationId xmlns:a16="http://schemas.microsoft.com/office/drawing/2014/main" id="{E61D8ED5-0641-4C2A-86C2-847FFBAEE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609599</xdr:colOff>
      <xdr:row>97</xdr:row>
      <xdr:rowOff>161925</xdr:rowOff>
    </xdr:from>
    <xdr:to>
      <xdr:col>8</xdr:col>
      <xdr:colOff>380999</xdr:colOff>
      <xdr:row>114</xdr:row>
      <xdr:rowOff>180974</xdr:rowOff>
    </xdr:to>
    <xdr:graphicFrame macro="">
      <xdr:nvGraphicFramePr>
        <xdr:cNvPr id="4" name="Chart 3">
          <a:extLst>
            <a:ext uri="{FF2B5EF4-FFF2-40B4-BE49-F238E27FC236}">
              <a16:creationId xmlns:a16="http://schemas.microsoft.com/office/drawing/2014/main" id="{183A8C08-C8EC-4C86-A9D6-70EFF27B7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0</xdr:colOff>
      <xdr:row>240</xdr:row>
      <xdr:rowOff>0</xdr:rowOff>
    </xdr:from>
    <xdr:ext cx="6753225" cy="3257549"/>
    <xdr:graphicFrame macro="">
      <xdr:nvGraphicFramePr>
        <xdr:cNvPr id="5" name="Chart 4">
          <a:extLst>
            <a:ext uri="{FF2B5EF4-FFF2-40B4-BE49-F238E27FC236}">
              <a16:creationId xmlns:a16="http://schemas.microsoft.com/office/drawing/2014/main" id="{FC19F9A2-360A-42DF-9EF8-D81196D00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8</xdr:col>
      <xdr:colOff>161927</xdr:colOff>
      <xdr:row>439</xdr:row>
      <xdr:rowOff>214313</xdr:rowOff>
    </xdr:from>
    <xdr:to>
      <xdr:col>13</xdr:col>
      <xdr:colOff>523875</xdr:colOff>
      <xdr:row>454</xdr:row>
      <xdr:rowOff>47626</xdr:rowOff>
    </xdr:to>
    <xdr:graphicFrame macro="">
      <xdr:nvGraphicFramePr>
        <xdr:cNvPr id="6" name="Chart 5">
          <a:extLst>
            <a:ext uri="{FF2B5EF4-FFF2-40B4-BE49-F238E27FC236}">
              <a16:creationId xmlns:a16="http://schemas.microsoft.com/office/drawing/2014/main" id="{5E64C370-1333-E35C-9A0E-B968865753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152399</xdr:colOff>
      <xdr:row>454</xdr:row>
      <xdr:rowOff>38100</xdr:rowOff>
    </xdr:from>
    <xdr:to>
      <xdr:col>13</xdr:col>
      <xdr:colOff>495299</xdr:colOff>
      <xdr:row>468</xdr:row>
      <xdr:rowOff>157163</xdr:rowOff>
    </xdr:to>
    <xdr:graphicFrame macro="">
      <xdr:nvGraphicFramePr>
        <xdr:cNvPr id="7" name="Chart 6">
          <a:extLst>
            <a:ext uri="{FF2B5EF4-FFF2-40B4-BE49-F238E27FC236}">
              <a16:creationId xmlns:a16="http://schemas.microsoft.com/office/drawing/2014/main" id="{15020B4C-BCEF-4BBA-902B-365D49C3E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457200</xdr:colOff>
      <xdr:row>289</xdr:row>
      <xdr:rowOff>38099</xdr:rowOff>
    </xdr:from>
    <xdr:to>
      <xdr:col>9</xdr:col>
      <xdr:colOff>522287</xdr:colOff>
      <xdr:row>306</xdr:row>
      <xdr:rowOff>66674</xdr:rowOff>
    </xdr:to>
    <xdr:graphicFrame macro="">
      <xdr:nvGraphicFramePr>
        <xdr:cNvPr id="8" name="Chart 7">
          <a:extLst>
            <a:ext uri="{FF2B5EF4-FFF2-40B4-BE49-F238E27FC236}">
              <a16:creationId xmlns:a16="http://schemas.microsoft.com/office/drawing/2014/main" id="{23F90B77-FAE3-5ACB-9D8E-58E4129A75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10</xdr:col>
      <xdr:colOff>266700</xdr:colOff>
      <xdr:row>239</xdr:row>
      <xdr:rowOff>171451</xdr:rowOff>
    </xdr:from>
    <xdr:ext cx="6753225" cy="3257549"/>
    <xdr:graphicFrame macro="">
      <xdr:nvGraphicFramePr>
        <xdr:cNvPr id="9" name="Chart 8">
          <a:extLst>
            <a:ext uri="{FF2B5EF4-FFF2-40B4-BE49-F238E27FC236}">
              <a16:creationId xmlns:a16="http://schemas.microsoft.com/office/drawing/2014/main" id="{39D49574-8E8D-481E-A6CF-25CD40563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twoCellAnchor>
    <xdr:from>
      <xdr:col>11</xdr:col>
      <xdr:colOff>0</xdr:colOff>
      <xdr:row>289</xdr:row>
      <xdr:rowOff>1</xdr:rowOff>
    </xdr:from>
    <xdr:to>
      <xdr:col>19</xdr:col>
      <xdr:colOff>0</xdr:colOff>
      <xdr:row>307</xdr:row>
      <xdr:rowOff>1</xdr:rowOff>
    </xdr:to>
    <xdr:graphicFrame macro="">
      <xdr:nvGraphicFramePr>
        <xdr:cNvPr id="10" name="Chart 9">
          <a:extLst>
            <a:ext uri="{FF2B5EF4-FFF2-40B4-BE49-F238E27FC236}">
              <a16:creationId xmlns:a16="http://schemas.microsoft.com/office/drawing/2014/main" id="{83879C66-8654-468D-8421-36E8B3689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326</xdr:row>
      <xdr:rowOff>0</xdr:rowOff>
    </xdr:from>
    <xdr:to>
      <xdr:col>8</xdr:col>
      <xdr:colOff>400050</xdr:colOff>
      <xdr:row>344</xdr:row>
      <xdr:rowOff>0</xdr:rowOff>
    </xdr:to>
    <xdr:graphicFrame macro="">
      <xdr:nvGraphicFramePr>
        <xdr:cNvPr id="12" name="Chart 11">
          <a:extLst>
            <a:ext uri="{FF2B5EF4-FFF2-40B4-BE49-F238E27FC236}">
              <a16:creationId xmlns:a16="http://schemas.microsoft.com/office/drawing/2014/main" id="{21FBC9B5-73A4-44EC-9B9C-775A7FA7C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367</xdr:row>
      <xdr:rowOff>0</xdr:rowOff>
    </xdr:from>
    <xdr:to>
      <xdr:col>8</xdr:col>
      <xdr:colOff>400050</xdr:colOff>
      <xdr:row>385</xdr:row>
      <xdr:rowOff>0</xdr:rowOff>
    </xdr:to>
    <xdr:graphicFrame macro="">
      <xdr:nvGraphicFramePr>
        <xdr:cNvPr id="14" name="Chart 13">
          <a:extLst>
            <a:ext uri="{FF2B5EF4-FFF2-40B4-BE49-F238E27FC236}">
              <a16:creationId xmlns:a16="http://schemas.microsoft.com/office/drawing/2014/main" id="{611E4EB4-6DBF-4274-A439-7D4F7EE41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190500</xdr:colOff>
      <xdr:row>60</xdr:row>
      <xdr:rowOff>76200</xdr:rowOff>
    </xdr:from>
    <xdr:to>
      <xdr:col>15</xdr:col>
      <xdr:colOff>323850</xdr:colOff>
      <xdr:row>69</xdr:row>
      <xdr:rowOff>90488</xdr:rowOff>
    </xdr:to>
    <xdr:graphicFrame macro="">
      <xdr:nvGraphicFramePr>
        <xdr:cNvPr id="2" name="Chart 1">
          <a:extLst>
            <a:ext uri="{FF2B5EF4-FFF2-40B4-BE49-F238E27FC236}">
              <a16:creationId xmlns:a16="http://schemas.microsoft.com/office/drawing/2014/main" id="{3A117BA2-BB10-4431-B443-7462F7956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32</xdr:row>
      <xdr:rowOff>76200</xdr:rowOff>
    </xdr:from>
    <xdr:to>
      <xdr:col>14</xdr:col>
      <xdr:colOff>257175</xdr:colOff>
      <xdr:row>46</xdr:row>
      <xdr:rowOff>152400</xdr:rowOff>
    </xdr:to>
    <xdr:graphicFrame macro="">
      <xdr:nvGraphicFramePr>
        <xdr:cNvPr id="3" name="Chart 2">
          <a:extLst>
            <a:ext uri="{FF2B5EF4-FFF2-40B4-BE49-F238E27FC236}">
              <a16:creationId xmlns:a16="http://schemas.microsoft.com/office/drawing/2014/main" id="{2197E6EB-A08D-7B0D-F640-6BD48A0F87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295275</xdr:colOff>
      <xdr:row>77</xdr:row>
      <xdr:rowOff>114300</xdr:rowOff>
    </xdr:from>
    <xdr:to>
      <xdr:col>14</xdr:col>
      <xdr:colOff>257175</xdr:colOff>
      <xdr:row>91</xdr:row>
      <xdr:rowOff>161926</xdr:rowOff>
    </xdr:to>
    <xdr:graphicFrame macro="">
      <xdr:nvGraphicFramePr>
        <xdr:cNvPr id="4" name="Chart 3">
          <a:extLst>
            <a:ext uri="{FF2B5EF4-FFF2-40B4-BE49-F238E27FC236}">
              <a16:creationId xmlns:a16="http://schemas.microsoft.com/office/drawing/2014/main" id="{82D6ACB0-E506-41F6-986A-974CF416E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777875</xdr:colOff>
      <xdr:row>120</xdr:row>
      <xdr:rowOff>69850</xdr:rowOff>
    </xdr:from>
    <xdr:to>
      <xdr:col>5</xdr:col>
      <xdr:colOff>193675</xdr:colOff>
      <xdr:row>121</xdr:row>
      <xdr:rowOff>146050</xdr:rowOff>
    </xdr:to>
    <xdr:sp macro="" textlink="">
      <xdr:nvSpPr>
        <xdr:cNvPr id="2" name="Arc 1">
          <a:extLst>
            <a:ext uri="{FF2B5EF4-FFF2-40B4-BE49-F238E27FC236}">
              <a16:creationId xmlns:a16="http://schemas.microsoft.com/office/drawing/2014/main" id="{C41ACAFF-2C97-4D7F-9AA7-E321C348C4C3}"/>
            </a:ext>
          </a:extLst>
        </xdr:cNvPr>
        <xdr:cNvSpPr/>
      </xdr:nvSpPr>
      <xdr:spPr>
        <a:xfrm rot="5400000">
          <a:off x="3662363" y="17873662"/>
          <a:ext cx="266700" cy="263525"/>
        </a:xfrm>
        <a:prstGeom prst="arc">
          <a:avLst>
            <a:gd name="adj1" fmla="val 10800000"/>
            <a:gd name="adj2" fmla="val 1085260"/>
          </a:avLst>
        </a:prstGeom>
        <a:ln w="444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kern="1200"/>
        </a:p>
      </xdr:txBody>
    </xdr:sp>
    <xdr:clientData/>
  </xdr:twoCellAnchor>
  <xdr:twoCellAnchor>
    <xdr:from>
      <xdr:col>1</xdr:col>
      <xdr:colOff>565150</xdr:colOff>
      <xdr:row>120</xdr:row>
      <xdr:rowOff>82550</xdr:rowOff>
    </xdr:from>
    <xdr:to>
      <xdr:col>2</xdr:col>
      <xdr:colOff>165100</xdr:colOff>
      <xdr:row>124</xdr:row>
      <xdr:rowOff>139700</xdr:rowOff>
    </xdr:to>
    <xdr:sp macro="" textlink="">
      <xdr:nvSpPr>
        <xdr:cNvPr id="3" name="Arc 2">
          <a:extLst>
            <a:ext uri="{FF2B5EF4-FFF2-40B4-BE49-F238E27FC236}">
              <a16:creationId xmlns:a16="http://schemas.microsoft.com/office/drawing/2014/main" id="{00ED1D11-3565-467D-9A2F-66EC36008591}"/>
            </a:ext>
          </a:extLst>
        </xdr:cNvPr>
        <xdr:cNvSpPr/>
      </xdr:nvSpPr>
      <xdr:spPr>
        <a:xfrm rot="16200000">
          <a:off x="722313" y="18070512"/>
          <a:ext cx="819150" cy="447675"/>
        </a:xfrm>
        <a:prstGeom prst="arc">
          <a:avLst>
            <a:gd name="adj1" fmla="val 10721985"/>
            <a:gd name="adj2" fmla="val 290624"/>
          </a:avLst>
        </a:prstGeom>
        <a:ln w="444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kern="1200"/>
        </a:p>
      </xdr:txBody>
    </xdr:sp>
    <xdr:clientData/>
  </xdr:twoCellAnchor>
  <xdr:twoCellAnchor>
    <xdr:from>
      <xdr:col>6</xdr:col>
      <xdr:colOff>614362</xdr:colOff>
      <xdr:row>120</xdr:row>
      <xdr:rowOff>52388</xdr:rowOff>
    </xdr:from>
    <xdr:to>
      <xdr:col>7</xdr:col>
      <xdr:colOff>255587</xdr:colOff>
      <xdr:row>121</xdr:row>
      <xdr:rowOff>141288</xdr:rowOff>
    </xdr:to>
    <xdr:sp macro="" textlink="">
      <xdr:nvSpPr>
        <xdr:cNvPr id="4" name="Arc 3">
          <a:extLst>
            <a:ext uri="{FF2B5EF4-FFF2-40B4-BE49-F238E27FC236}">
              <a16:creationId xmlns:a16="http://schemas.microsoft.com/office/drawing/2014/main" id="{73AE0C8F-978C-487C-AD60-F84459249604}"/>
            </a:ext>
          </a:extLst>
        </xdr:cNvPr>
        <xdr:cNvSpPr/>
      </xdr:nvSpPr>
      <xdr:spPr>
        <a:xfrm>
          <a:off x="5195887" y="17854613"/>
          <a:ext cx="488950" cy="279400"/>
        </a:xfrm>
        <a:prstGeom prst="arc">
          <a:avLst>
            <a:gd name="adj1" fmla="val 11331471"/>
            <a:gd name="adj2" fmla="val 21231678"/>
          </a:avLst>
        </a:prstGeom>
        <a:ln w="444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kern="1200"/>
        </a:p>
      </xdr:txBody>
    </xdr:sp>
    <xdr:clientData/>
  </xdr:twoCellAnchor>
  <xdr:twoCellAnchor>
    <xdr:from>
      <xdr:col>6</xdr:col>
      <xdr:colOff>581024</xdr:colOff>
      <xdr:row>123</xdr:row>
      <xdr:rowOff>66674</xdr:rowOff>
    </xdr:from>
    <xdr:to>
      <xdr:col>8</xdr:col>
      <xdr:colOff>627063</xdr:colOff>
      <xdr:row>125</xdr:row>
      <xdr:rowOff>104773</xdr:rowOff>
    </xdr:to>
    <xdr:sp macro="" textlink="">
      <xdr:nvSpPr>
        <xdr:cNvPr id="5" name="Arc 4">
          <a:extLst>
            <a:ext uri="{FF2B5EF4-FFF2-40B4-BE49-F238E27FC236}">
              <a16:creationId xmlns:a16="http://schemas.microsoft.com/office/drawing/2014/main" id="{8138B2A0-FF55-4C46-A420-E8E83BD57AD6}"/>
            </a:ext>
          </a:extLst>
        </xdr:cNvPr>
        <xdr:cNvSpPr/>
      </xdr:nvSpPr>
      <xdr:spPr>
        <a:xfrm rot="10800000">
          <a:off x="5162549" y="18440399"/>
          <a:ext cx="1741489" cy="419099"/>
        </a:xfrm>
        <a:prstGeom prst="arc">
          <a:avLst>
            <a:gd name="adj1" fmla="val 10850095"/>
            <a:gd name="adj2" fmla="val 21598686"/>
          </a:avLst>
        </a:prstGeom>
        <a:ln w="444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kern="1200"/>
        </a:p>
      </xdr:txBody>
    </xdr:sp>
    <xdr:clientData/>
  </xdr:twoCellAnchor>
  <xdr:twoCellAnchor>
    <xdr:from>
      <xdr:col>2</xdr:col>
      <xdr:colOff>200025</xdr:colOff>
      <xdr:row>274</xdr:row>
      <xdr:rowOff>9526</xdr:rowOff>
    </xdr:from>
    <xdr:to>
      <xdr:col>3</xdr:col>
      <xdr:colOff>657225</xdr:colOff>
      <xdr:row>275</xdr:row>
      <xdr:rowOff>47625</xdr:rowOff>
    </xdr:to>
    <xdr:sp macro="" textlink="">
      <xdr:nvSpPr>
        <xdr:cNvPr id="6" name="Rectangle 5">
          <a:extLst>
            <a:ext uri="{FF2B5EF4-FFF2-40B4-BE49-F238E27FC236}">
              <a16:creationId xmlns:a16="http://schemas.microsoft.com/office/drawing/2014/main" id="{344B9182-8032-46A0-AC94-88F551E51F56}"/>
            </a:ext>
          </a:extLst>
        </xdr:cNvPr>
        <xdr:cNvSpPr/>
      </xdr:nvSpPr>
      <xdr:spPr>
        <a:xfrm>
          <a:off x="1390650" y="42386251"/>
          <a:ext cx="1304925" cy="228599"/>
        </a:xfrm>
        <a:prstGeom prst="rect">
          <a:avLst/>
        </a:prstGeom>
        <a:noFill/>
        <a:ln w="38100">
          <a:solidFill>
            <a:srgbClr val="C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kern="1200"/>
        </a:p>
      </xdr:txBody>
    </xdr:sp>
    <xdr:clientData/>
  </xdr:twoCellAnchor>
  <xdr:twoCellAnchor>
    <xdr:from>
      <xdr:col>5</xdr:col>
      <xdr:colOff>219076</xdr:colOff>
      <xdr:row>274</xdr:row>
      <xdr:rowOff>9526</xdr:rowOff>
    </xdr:from>
    <xdr:to>
      <xdr:col>6</xdr:col>
      <xdr:colOff>609601</xdr:colOff>
      <xdr:row>277</xdr:row>
      <xdr:rowOff>47626</xdr:rowOff>
    </xdr:to>
    <xdr:sp macro="" textlink="">
      <xdr:nvSpPr>
        <xdr:cNvPr id="7" name="Rectangle 6">
          <a:extLst>
            <a:ext uri="{FF2B5EF4-FFF2-40B4-BE49-F238E27FC236}">
              <a16:creationId xmlns:a16="http://schemas.microsoft.com/office/drawing/2014/main" id="{815269CF-BBA2-4D22-9071-04F0CACE0114}"/>
            </a:ext>
          </a:extLst>
        </xdr:cNvPr>
        <xdr:cNvSpPr/>
      </xdr:nvSpPr>
      <xdr:spPr>
        <a:xfrm>
          <a:off x="3952876" y="42386251"/>
          <a:ext cx="1238250" cy="609600"/>
        </a:xfrm>
        <a:prstGeom prst="rect">
          <a:avLst/>
        </a:prstGeom>
        <a:noFill/>
        <a:ln w="38100">
          <a:solidFill>
            <a:srgbClr val="C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kern="1200"/>
        </a:p>
      </xdr:txBody>
    </xdr:sp>
    <xdr:clientData/>
  </xdr:twoCellAnchor>
  <xdr:twoCellAnchor>
    <xdr:from>
      <xdr:col>7</xdr:col>
      <xdr:colOff>190501</xdr:colOff>
      <xdr:row>274</xdr:row>
      <xdr:rowOff>9525</xdr:rowOff>
    </xdr:from>
    <xdr:to>
      <xdr:col>7</xdr:col>
      <xdr:colOff>628650</xdr:colOff>
      <xdr:row>277</xdr:row>
      <xdr:rowOff>57150</xdr:rowOff>
    </xdr:to>
    <xdr:sp macro="" textlink="">
      <xdr:nvSpPr>
        <xdr:cNvPr id="8" name="Rectangle 7">
          <a:extLst>
            <a:ext uri="{FF2B5EF4-FFF2-40B4-BE49-F238E27FC236}">
              <a16:creationId xmlns:a16="http://schemas.microsoft.com/office/drawing/2014/main" id="{E7B81EDD-D235-4CC4-936D-49627071444C}"/>
            </a:ext>
          </a:extLst>
        </xdr:cNvPr>
        <xdr:cNvSpPr/>
      </xdr:nvSpPr>
      <xdr:spPr>
        <a:xfrm>
          <a:off x="5619751" y="42386250"/>
          <a:ext cx="438149" cy="619125"/>
        </a:xfrm>
        <a:prstGeom prst="rect">
          <a:avLst/>
        </a:prstGeom>
        <a:noFill/>
        <a:ln w="38100">
          <a:solidFill>
            <a:srgbClr val="C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kern="1200"/>
        </a:p>
      </xdr:txBody>
    </xdr:sp>
    <xdr:clientData/>
  </xdr:twoCellAnchor>
  <xdr:twoCellAnchor>
    <xdr:from>
      <xdr:col>6</xdr:col>
      <xdr:colOff>200891</xdr:colOff>
      <xdr:row>268</xdr:row>
      <xdr:rowOff>19915</xdr:rowOff>
    </xdr:from>
    <xdr:to>
      <xdr:col>6</xdr:col>
      <xdr:colOff>619991</xdr:colOff>
      <xdr:row>271</xdr:row>
      <xdr:rowOff>10390</xdr:rowOff>
    </xdr:to>
    <xdr:sp macro="" textlink="">
      <xdr:nvSpPr>
        <xdr:cNvPr id="9" name="Rectangle 8">
          <a:extLst>
            <a:ext uri="{FF2B5EF4-FFF2-40B4-BE49-F238E27FC236}">
              <a16:creationId xmlns:a16="http://schemas.microsoft.com/office/drawing/2014/main" id="{B4EDE2B3-2593-4006-950A-99395530292A}"/>
            </a:ext>
          </a:extLst>
        </xdr:cNvPr>
        <xdr:cNvSpPr/>
      </xdr:nvSpPr>
      <xdr:spPr>
        <a:xfrm>
          <a:off x="4582391" y="47610279"/>
          <a:ext cx="419100" cy="561975"/>
        </a:xfrm>
        <a:prstGeom prst="rect">
          <a:avLst/>
        </a:prstGeom>
        <a:noFill/>
        <a:ln w="38100">
          <a:solidFill>
            <a:srgbClr val="C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kern="1200"/>
        </a:p>
      </xdr:txBody>
    </xdr:sp>
    <xdr:clientData/>
  </xdr:twoCellAnchor>
  <xdr:twoCellAnchor>
    <xdr:from>
      <xdr:col>3</xdr:col>
      <xdr:colOff>657225</xdr:colOff>
      <xdr:row>274</xdr:row>
      <xdr:rowOff>114300</xdr:rowOff>
    </xdr:from>
    <xdr:to>
      <xdr:col>5</xdr:col>
      <xdr:colOff>76200</xdr:colOff>
      <xdr:row>274</xdr:row>
      <xdr:rowOff>123826</xdr:rowOff>
    </xdr:to>
    <xdr:cxnSp macro="">
      <xdr:nvCxnSpPr>
        <xdr:cNvPr id="10" name="Straight Arrow Connector 9">
          <a:extLst>
            <a:ext uri="{FF2B5EF4-FFF2-40B4-BE49-F238E27FC236}">
              <a16:creationId xmlns:a16="http://schemas.microsoft.com/office/drawing/2014/main" id="{DFC11251-EBD5-4FC3-AD39-6D4D30755C8D}"/>
            </a:ext>
          </a:extLst>
        </xdr:cNvPr>
        <xdr:cNvCxnSpPr>
          <a:stCxn id="6" idx="3"/>
        </xdr:cNvCxnSpPr>
      </xdr:nvCxnSpPr>
      <xdr:spPr>
        <a:xfrm flipV="1">
          <a:off x="2695575" y="42491025"/>
          <a:ext cx="1114425" cy="9526"/>
        </a:xfrm>
        <a:prstGeom prst="straightConnector1">
          <a:avLst/>
        </a:prstGeom>
        <a:ln w="3810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657225</xdr:colOff>
      <xdr:row>274</xdr:row>
      <xdr:rowOff>123826</xdr:rowOff>
    </xdr:from>
    <xdr:to>
      <xdr:col>5</xdr:col>
      <xdr:colOff>76200</xdr:colOff>
      <xdr:row>275</xdr:row>
      <xdr:rowOff>142875</xdr:rowOff>
    </xdr:to>
    <xdr:cxnSp macro="">
      <xdr:nvCxnSpPr>
        <xdr:cNvPr id="11" name="Straight Arrow Connector 10">
          <a:extLst>
            <a:ext uri="{FF2B5EF4-FFF2-40B4-BE49-F238E27FC236}">
              <a16:creationId xmlns:a16="http://schemas.microsoft.com/office/drawing/2014/main" id="{4A4D241E-A081-423B-A99E-19E061DE20DE}"/>
            </a:ext>
          </a:extLst>
        </xdr:cNvPr>
        <xdr:cNvCxnSpPr>
          <a:stCxn id="6" idx="3"/>
        </xdr:cNvCxnSpPr>
      </xdr:nvCxnSpPr>
      <xdr:spPr>
        <a:xfrm>
          <a:off x="2695575" y="42500551"/>
          <a:ext cx="1114425" cy="209549"/>
        </a:xfrm>
        <a:prstGeom prst="straightConnector1">
          <a:avLst/>
        </a:prstGeom>
        <a:ln w="3810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3</xdr:col>
      <xdr:colOff>657225</xdr:colOff>
      <xdr:row>274</xdr:row>
      <xdr:rowOff>123826</xdr:rowOff>
    </xdr:from>
    <xdr:to>
      <xdr:col>5</xdr:col>
      <xdr:colOff>85725</xdr:colOff>
      <xdr:row>276</xdr:row>
      <xdr:rowOff>180975</xdr:rowOff>
    </xdr:to>
    <xdr:cxnSp macro="">
      <xdr:nvCxnSpPr>
        <xdr:cNvPr id="12" name="Straight Arrow Connector 11">
          <a:extLst>
            <a:ext uri="{FF2B5EF4-FFF2-40B4-BE49-F238E27FC236}">
              <a16:creationId xmlns:a16="http://schemas.microsoft.com/office/drawing/2014/main" id="{630ED878-013F-409D-B616-66D0314D2C80}"/>
            </a:ext>
          </a:extLst>
        </xdr:cNvPr>
        <xdr:cNvCxnSpPr>
          <a:stCxn id="6" idx="3"/>
        </xdr:cNvCxnSpPr>
      </xdr:nvCxnSpPr>
      <xdr:spPr>
        <a:xfrm>
          <a:off x="2695575" y="42500551"/>
          <a:ext cx="1123950" cy="438149"/>
        </a:xfrm>
        <a:prstGeom prst="straightConnector1">
          <a:avLst/>
        </a:prstGeom>
        <a:ln w="3810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619991</xdr:colOff>
      <xdr:row>269</xdr:row>
      <xdr:rowOff>110403</xdr:rowOff>
    </xdr:from>
    <xdr:to>
      <xdr:col>7</xdr:col>
      <xdr:colOff>134216</xdr:colOff>
      <xdr:row>275</xdr:row>
      <xdr:rowOff>10391</xdr:rowOff>
    </xdr:to>
    <xdr:cxnSp macro="">
      <xdr:nvCxnSpPr>
        <xdr:cNvPr id="13" name="Straight Arrow Connector 12">
          <a:extLst>
            <a:ext uri="{FF2B5EF4-FFF2-40B4-BE49-F238E27FC236}">
              <a16:creationId xmlns:a16="http://schemas.microsoft.com/office/drawing/2014/main" id="{28A2A949-B99B-4D9B-8C11-84CE6C774FF2}"/>
            </a:ext>
          </a:extLst>
        </xdr:cNvPr>
        <xdr:cNvCxnSpPr>
          <a:stCxn id="9" idx="3"/>
        </xdr:cNvCxnSpPr>
      </xdr:nvCxnSpPr>
      <xdr:spPr>
        <a:xfrm>
          <a:off x="5001491" y="47891267"/>
          <a:ext cx="293543" cy="1042988"/>
        </a:xfrm>
        <a:prstGeom prst="straightConnector1">
          <a:avLst/>
        </a:prstGeom>
        <a:ln w="38100">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xdr:colOff>
      <xdr:row>87</xdr:row>
      <xdr:rowOff>104774</xdr:rowOff>
    </xdr:from>
    <xdr:to>
      <xdr:col>16</xdr:col>
      <xdr:colOff>1</xdr:colOff>
      <xdr:row>102</xdr:row>
      <xdr:rowOff>190499</xdr:rowOff>
    </xdr:to>
    <xdr:graphicFrame macro="">
      <xdr:nvGraphicFramePr>
        <xdr:cNvPr id="2" name="Chart 1">
          <a:extLst>
            <a:ext uri="{FF2B5EF4-FFF2-40B4-BE49-F238E27FC236}">
              <a16:creationId xmlns:a16="http://schemas.microsoft.com/office/drawing/2014/main" id="{10B50E52-6D94-D53F-000C-CF3F17CC5B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72</xdr:row>
      <xdr:rowOff>0</xdr:rowOff>
    </xdr:from>
    <xdr:to>
      <xdr:col>16</xdr:col>
      <xdr:colOff>0</xdr:colOff>
      <xdr:row>87</xdr:row>
      <xdr:rowOff>104775</xdr:rowOff>
    </xdr:to>
    <xdr:graphicFrame macro="">
      <xdr:nvGraphicFramePr>
        <xdr:cNvPr id="3" name="Chart 2">
          <a:extLst>
            <a:ext uri="{FF2B5EF4-FFF2-40B4-BE49-F238E27FC236}">
              <a16:creationId xmlns:a16="http://schemas.microsoft.com/office/drawing/2014/main" id="{32515393-5A41-4CE5-B00B-A0D1B2452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276225</xdr:colOff>
      <xdr:row>37</xdr:row>
      <xdr:rowOff>85725</xdr:rowOff>
    </xdr:from>
    <xdr:to>
      <xdr:col>15</xdr:col>
      <xdr:colOff>9525</xdr:colOff>
      <xdr:row>58</xdr:row>
      <xdr:rowOff>0</xdr:rowOff>
    </xdr:to>
    <xdr:graphicFrame macro="">
      <xdr:nvGraphicFramePr>
        <xdr:cNvPr id="6" name="Chart 5">
          <a:extLst>
            <a:ext uri="{FF2B5EF4-FFF2-40B4-BE49-F238E27FC236}">
              <a16:creationId xmlns:a16="http://schemas.microsoft.com/office/drawing/2014/main" id="{CB064808-C987-42C0-B4B2-C3E2D971B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704850</xdr:colOff>
      <xdr:row>0</xdr:row>
      <xdr:rowOff>0</xdr:rowOff>
    </xdr:from>
    <xdr:to>
      <xdr:col>9</xdr:col>
      <xdr:colOff>795768</xdr:colOff>
      <xdr:row>0</xdr:row>
      <xdr:rowOff>433388</xdr:rowOff>
    </xdr:to>
    <xdr:pic>
      <xdr:nvPicPr>
        <xdr:cNvPr id="4" name="Picture 3">
          <a:extLst>
            <a:ext uri="{FF2B5EF4-FFF2-40B4-BE49-F238E27FC236}">
              <a16:creationId xmlns:a16="http://schemas.microsoft.com/office/drawing/2014/main" id="{768AD85C-CBAD-43B9-86FF-21C7099409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2650" y="0"/>
          <a:ext cx="1729218" cy="43338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1">
    <v>abc</v>
    <v>2</v>
    <v>25</v>
    <v>14</v>
    <v>5</v>
  </rv>
</rvData>
</file>

<file path=xl/richData/rdrichvaluestructure.xml><?xml version="1.0" encoding="utf-8"?>
<rvStructures xmlns="http://schemas.microsoft.com/office/spreadsheetml/2017/richdata" count="2">
  <s t="_localImage">
    <k n="_rvRel:LocalImageIdentifier" t="i"/>
    <k n="CalcOrigin" t="i"/>
  </s>
  <s t="_error">
    <k n="argument" t="s"/>
    <k n="errorType" t="i"/>
    <k n="iftab" t="i"/>
    <k n="ptg" t="i"/>
    <k n="subType"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99" row="6">
    <wetp:webextensionref xmlns:r="http://schemas.openxmlformats.org/officeDocument/2006/relationships" r:id="rId1"/>
  </wetp:taskpane>
  <wetp:taskpane dockstate="right" visibility="0" width="1144" row="1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FCC87323-E7AD-4742-8CF2-263D8D9148CF}">
  <we:reference id="wa104380862" version="1.5.0.0" store="en-US"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D0630AA-52DE-41CA-84FA-C86B08182106}">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214B541F-8588-4834-82FB-FF65CCD4036E}&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26" Type="http://schemas.openxmlformats.org/officeDocument/2006/relationships/hyperlink" Target="https://www.vertex42.com/lambda/diag.html" TargetMode="External"/><Relationship Id="rId21" Type="http://schemas.openxmlformats.org/officeDocument/2006/relationships/hyperlink" Target="https://www.vertex42.com/lambda/" TargetMode="External"/><Relationship Id="rId42" Type="http://schemas.openxmlformats.org/officeDocument/2006/relationships/hyperlink" Target="https://www.vertex42.com/lambda/combinr.html" TargetMode="External"/><Relationship Id="rId47" Type="http://schemas.openxmlformats.org/officeDocument/2006/relationships/hyperlink" Target="https://www.vertex42.com/lambda/newton-raphson.html" TargetMode="External"/><Relationship Id="rId63" Type="http://schemas.openxmlformats.org/officeDocument/2006/relationships/hyperlink" Target="https://www.vertex42.com/lambda/splice.html" TargetMode="External"/><Relationship Id="rId68" Type="http://schemas.openxmlformats.org/officeDocument/2006/relationships/hyperlink" Target="https://www.vertex42.com/lambda/polyfromroots.html" TargetMode="External"/><Relationship Id="rId84" Type="http://schemas.openxmlformats.org/officeDocument/2006/relationships/hyperlink" Target="https://www.vertex42.com/lambda/nspline.html" TargetMode="External"/><Relationship Id="rId89" Type="http://schemas.openxmlformats.org/officeDocument/2006/relationships/hyperlink" Target="https://www.vertex42.com/lambda/isprime.html" TargetMode="External"/><Relationship Id="rId16" Type="http://schemas.openxmlformats.org/officeDocument/2006/relationships/hyperlink" Target="https://www.vertex42.com/lambda/rescale.html" TargetMode="External"/><Relationship Id="rId11" Type="http://schemas.openxmlformats.org/officeDocument/2006/relationships/hyperlink" Target="https://www.vertex42.com/lambda/reparray.html" TargetMode="External"/><Relationship Id="rId32" Type="http://schemas.openxmlformats.org/officeDocument/2006/relationships/hyperlink" Target="https://www.vertex42.com/lambda/polyder.html" TargetMode="External"/><Relationship Id="rId37" Type="http://schemas.openxmlformats.org/officeDocument/2006/relationships/hyperlink" Target="https://www.vertex42.com/lambda/timer.html" TargetMode="External"/><Relationship Id="rId53" Type="http://schemas.openxmlformats.org/officeDocument/2006/relationships/hyperlink" Target="https://www.vertex42.com/lambda/complex.html" TargetMode="External"/><Relationship Id="rId58" Type="http://schemas.openxmlformats.org/officeDocument/2006/relationships/hyperlink" Target="https://www.vertex42.com/lambda/structures.html" TargetMode="External"/><Relationship Id="rId74" Type="http://schemas.openxmlformats.org/officeDocument/2006/relationships/hyperlink" Target="https://www.vertex42.com/lambda/trapz.html" TargetMode="External"/><Relationship Id="rId79" Type="http://schemas.openxmlformats.org/officeDocument/2006/relationships/hyperlink" Target="https://www.vertex42.com/lambda/simpson.html" TargetMode="External"/><Relationship Id="rId5" Type="http://schemas.openxmlformats.org/officeDocument/2006/relationships/hyperlink" Target="https://www.vertex42.com/lambda/linspace.html" TargetMode="External"/><Relationship Id="rId90" Type="http://schemas.openxmlformats.org/officeDocument/2006/relationships/hyperlink" Target="https://www.vertex42.com/lambda/isprime.html" TargetMode="External"/><Relationship Id="rId22" Type="http://schemas.openxmlformats.org/officeDocument/2006/relationships/hyperlink" Target="https://www.vertex42.com/lambda/sfround.html" TargetMode="External"/><Relationship Id="rId27" Type="http://schemas.openxmlformats.org/officeDocument/2006/relationships/hyperlink" Target="https://www.vertex42.com/lambda/diag.html" TargetMode="External"/><Relationship Id="rId43" Type="http://schemas.openxmlformats.org/officeDocument/2006/relationships/hyperlink" Target="https://www.vertex42.com/lambda/text2array.html" TargetMode="External"/><Relationship Id="rId48" Type="http://schemas.openxmlformats.org/officeDocument/2006/relationships/hyperlink" Target="https://www.vertex42.com/lambda/quadratic.html" TargetMode="External"/><Relationship Id="rId64" Type="http://schemas.openxmlformats.org/officeDocument/2006/relationships/hyperlink" Target="https://www.vertex42.com/lambda/cspline.html" TargetMode="External"/><Relationship Id="rId69" Type="http://schemas.openxmlformats.org/officeDocument/2006/relationships/hyperlink" Target="https://www.vertex42.com/lambda/polyint.html" TargetMode="External"/><Relationship Id="rId8" Type="http://schemas.openxmlformats.org/officeDocument/2006/relationships/hyperlink" Target="https://www.vertex42.com/lambda/flip.html" TargetMode="External"/><Relationship Id="rId51" Type="http://schemas.openxmlformats.org/officeDocument/2006/relationships/hyperlink" Target="https://www.vertex42.com/lambda/complex.html" TargetMode="External"/><Relationship Id="rId72" Type="http://schemas.openxmlformats.org/officeDocument/2006/relationships/hyperlink" Target="https://www.vertex42.com/lambda/fdiff.html" TargetMode="External"/><Relationship Id="rId80" Type="http://schemas.openxmlformats.org/officeDocument/2006/relationships/hyperlink" Target="https://www.vertex42.com/lambda/byrow2d.html" TargetMode="External"/><Relationship Id="rId85" Type="http://schemas.openxmlformats.org/officeDocument/2006/relationships/hyperlink" Target="https://www.vertex42.com/lambda/spline.html" TargetMode="External"/><Relationship Id="rId93" Type="http://schemas.openxmlformats.org/officeDocument/2006/relationships/printerSettings" Target="../printerSettings/printerSettings1.bin"/><Relationship Id="rId3" Type="http://schemas.openxmlformats.org/officeDocument/2006/relationships/hyperlink" Target="https://gist.github.com/jonwittwer/13e1c25374ef9de7d708e43db9e0f442" TargetMode="External"/><Relationship Id="rId12" Type="http://schemas.openxmlformats.org/officeDocument/2006/relationships/hyperlink" Target="https://www.vertex42.com/lambda/repelem.html" TargetMode="External"/><Relationship Id="rId17" Type="http://schemas.openxmlformats.org/officeDocument/2006/relationships/hyperlink" Target="https://www.vertex42.com/lambda/ones-and-zeros.html" TargetMode="External"/><Relationship Id="rId25" Type="http://schemas.openxmlformats.org/officeDocument/2006/relationships/hyperlink" Target="https://www.vertex42.com/lambda/se.html" TargetMode="External"/><Relationship Id="rId33" Type="http://schemas.openxmlformats.org/officeDocument/2006/relationships/hyperlink" Target="https://www.vertex42.com/lambda/meshgrid.html" TargetMode="External"/><Relationship Id="rId38" Type="http://schemas.openxmlformats.org/officeDocument/2006/relationships/hyperlink" Target="https://www.vertex42.com/lambda/polymult.html" TargetMode="External"/><Relationship Id="rId46" Type="http://schemas.openxmlformats.org/officeDocument/2006/relationships/hyperlink" Target="https://www.vertex42.com/lambda/ppval.html" TargetMode="External"/><Relationship Id="rId59" Type="http://schemas.openxmlformats.org/officeDocument/2006/relationships/hyperlink" Target="https://www.vertex42.com/lambda/structures.html" TargetMode="External"/><Relationship Id="rId67" Type="http://schemas.openxmlformats.org/officeDocument/2006/relationships/hyperlink" Target="https://www.vertex42.com/lambda/complex.html" TargetMode="External"/><Relationship Id="rId20" Type="http://schemas.openxmlformats.org/officeDocument/2006/relationships/hyperlink" Target="https://www.vertex42.com/lambda/polyval.html" TargetMode="External"/><Relationship Id="rId41" Type="http://schemas.openxmlformats.org/officeDocument/2006/relationships/hyperlink" Target="https://www.vertex42.com/lambda/cholesky.html" TargetMode="External"/><Relationship Id="rId54" Type="http://schemas.openxmlformats.org/officeDocument/2006/relationships/hyperlink" Target="https://www.vertex42.com/lambda/complex.html" TargetMode="External"/><Relationship Id="rId62" Type="http://schemas.openxmlformats.org/officeDocument/2006/relationships/hyperlink" Target="https://www.vertex42.com/lambda/slice.html" TargetMode="External"/><Relationship Id="rId70" Type="http://schemas.openxmlformats.org/officeDocument/2006/relationships/hyperlink" Target="https://www.vertex42.com/lambda/fibonacci.html" TargetMode="External"/><Relationship Id="rId75" Type="http://schemas.openxmlformats.org/officeDocument/2006/relationships/hyperlink" Target="https://www.vertex42.com/lambda/polyadd.html" TargetMode="External"/><Relationship Id="rId83" Type="http://schemas.openxmlformats.org/officeDocument/2006/relationships/hyperlink" Target="https://www.vertex42.com/lambda/ppder.html" TargetMode="External"/><Relationship Id="rId88" Type="http://schemas.openxmlformats.org/officeDocument/2006/relationships/hyperlink" Target="https://www.vertex42.com/lambda/permutations.html" TargetMode="External"/><Relationship Id="rId91" Type="http://schemas.openxmlformats.org/officeDocument/2006/relationships/hyperlink" Target="https://www.vertex42.com/lambda/rot45.html" TargetMode="External"/><Relationship Id="rId1" Type="http://schemas.openxmlformats.org/officeDocument/2006/relationships/hyperlink" Target="https://www.vertex42.com/lambda/templates.html" TargetMode="External"/><Relationship Id="rId6" Type="http://schemas.openxmlformats.org/officeDocument/2006/relationships/hyperlink" Target="https://www.vertex42.com/lambda/logspace.html" TargetMode="External"/><Relationship Id="rId15" Type="http://schemas.openxmlformats.org/officeDocument/2006/relationships/hyperlink" Target="https://www.vertex42.com/lambda/combinations.html" TargetMode="External"/><Relationship Id="rId23" Type="http://schemas.openxmlformats.org/officeDocument/2006/relationships/hyperlink" Target="https://www.vertex42.com/lambda/rowsum-and-colsum.html" TargetMode="External"/><Relationship Id="rId28" Type="http://schemas.openxmlformats.org/officeDocument/2006/relationships/hyperlink" Target="https://www.vertex42.com/lambda/dot.html" TargetMode="External"/><Relationship Id="rId36" Type="http://schemas.openxmlformats.org/officeDocument/2006/relationships/hyperlink" Target="https://www.vertex42.com/lambda/hess.html" TargetMode="External"/><Relationship Id="rId49" Type="http://schemas.openxmlformats.org/officeDocument/2006/relationships/hyperlink" Target="https://www.vertex42.com/lambda/complex.html" TargetMode="External"/><Relationship Id="rId57" Type="http://schemas.openxmlformats.org/officeDocument/2006/relationships/hyperlink" Target="https://www.vertex42.com/lambda/structures.html" TargetMode="External"/><Relationship Id="rId10" Type="http://schemas.openxmlformats.org/officeDocument/2006/relationships/hyperlink" Target="https://www.vertex42.com/lambda/flip.html" TargetMode="External"/><Relationship Id="rId31" Type="http://schemas.openxmlformats.org/officeDocument/2006/relationships/hyperlink" Target="https://www.vertex42.com/lambda/pinterp.html" TargetMode="External"/><Relationship Id="rId44" Type="http://schemas.openxmlformats.org/officeDocument/2006/relationships/hyperlink" Target="https://www.vertex42.com/lambda/roman2int.html" TargetMode="External"/><Relationship Id="rId52" Type="http://schemas.openxmlformats.org/officeDocument/2006/relationships/hyperlink" Target="https://www.vertex42.com/lambda/complex.html" TargetMode="External"/><Relationship Id="rId60" Type="http://schemas.openxmlformats.org/officeDocument/2006/relationships/hyperlink" Target="https://www.vertex42.com/lambda/structures.html" TargetMode="External"/><Relationship Id="rId65" Type="http://schemas.openxmlformats.org/officeDocument/2006/relationships/hyperlink" Target="https://www.vertex42.com/lambda/eigenvalue.html" TargetMode="External"/><Relationship Id="rId73" Type="http://schemas.openxmlformats.org/officeDocument/2006/relationships/hyperlink" Target="https://www.vertex42.com/lambda/pdiff.html" TargetMode="External"/><Relationship Id="rId78" Type="http://schemas.openxmlformats.org/officeDocument/2006/relationships/hyperlink" Target="https://www.vertex42.com/lambda/ppint.html" TargetMode="External"/><Relationship Id="rId81" Type="http://schemas.openxmlformats.org/officeDocument/2006/relationships/hyperlink" Target="https://www.vertex42.com/lambda/byrow2d.html" TargetMode="External"/><Relationship Id="rId86" Type="http://schemas.openxmlformats.org/officeDocument/2006/relationships/hyperlink" Target="https://www.vertex42.com/lambda/cumulativesum.html" TargetMode="External"/><Relationship Id="rId94" Type="http://schemas.openxmlformats.org/officeDocument/2006/relationships/drawing" Target="../drawings/drawing1.xml"/><Relationship Id="rId4" Type="http://schemas.openxmlformats.org/officeDocument/2006/relationships/hyperlink" Target="https://www.vertex42.com/lambda/mit.html" TargetMode="External"/><Relationship Id="rId9" Type="http://schemas.openxmlformats.org/officeDocument/2006/relationships/hyperlink" Target="https://www.vertex42.com/lambda/flip.html" TargetMode="External"/><Relationship Id="rId13" Type="http://schemas.openxmlformats.org/officeDocument/2006/relationships/hyperlink" Target="https://www.vertex42.com/lambda/rot90.html" TargetMode="External"/><Relationship Id="rId18" Type="http://schemas.openxmlformats.org/officeDocument/2006/relationships/hyperlink" Target="https://www.vertex42.com/lambda/ones-and-zeros.html" TargetMode="External"/><Relationship Id="rId39" Type="http://schemas.openxmlformats.org/officeDocument/2006/relationships/hyperlink" Target="https://www.vertex42.com/lambda/polycompan.html" TargetMode="External"/><Relationship Id="rId34" Type="http://schemas.openxmlformats.org/officeDocument/2006/relationships/hyperlink" Target="https://www.vertex42.com/lambda/magnitude.html" TargetMode="External"/><Relationship Id="rId50" Type="http://schemas.openxmlformats.org/officeDocument/2006/relationships/hyperlink" Target="https://www.vertex42.com/lambda/complex.html" TargetMode="External"/><Relationship Id="rId55" Type="http://schemas.openxmlformats.org/officeDocument/2006/relationships/hyperlink" Target="https://www.vertex42.com/lambda/complex.html" TargetMode="External"/><Relationship Id="rId76" Type="http://schemas.openxmlformats.org/officeDocument/2006/relationships/hyperlink" Target="https://www.vertex42.com/lambda/polyadd.html" TargetMode="External"/><Relationship Id="rId7" Type="http://schemas.openxmlformats.org/officeDocument/2006/relationships/hyperlink" Target="https://www.vertex42.com/lambda/isuniform.html" TargetMode="External"/><Relationship Id="rId71" Type="http://schemas.openxmlformats.org/officeDocument/2006/relationships/hyperlink" Target="https://www.vertex42.com/lambda/diff.html" TargetMode="External"/><Relationship Id="rId92" Type="http://schemas.openxmlformats.org/officeDocument/2006/relationships/hyperlink" Target="https://www.vertex42.com/lambda/byrow2d.html" TargetMode="External"/><Relationship Id="rId2" Type="http://schemas.openxmlformats.org/officeDocument/2006/relationships/hyperlink" Target="https://support.microsoft.com/en-au/office/lambda-function-bd212d27-1cd1-4321-a34a-ccbf254b8b67" TargetMode="External"/><Relationship Id="rId29" Type="http://schemas.openxmlformats.org/officeDocument/2006/relationships/hyperlink" Target="https://www.vertex42.com/lambda/cross.html" TargetMode="External"/><Relationship Id="rId24" Type="http://schemas.openxmlformats.org/officeDocument/2006/relationships/hyperlink" Target="https://www.vertex42.com/lambda/rowsum-and-colsum.html" TargetMode="External"/><Relationship Id="rId40" Type="http://schemas.openxmlformats.org/officeDocument/2006/relationships/hyperlink" Target="https://www.vertex42.com/lambda/qr.html" TargetMode="External"/><Relationship Id="rId45" Type="http://schemas.openxmlformats.org/officeDocument/2006/relationships/hyperlink" Target="https://www.vertex42.com/lambda/countchar.html" TargetMode="External"/><Relationship Id="rId66" Type="http://schemas.openxmlformats.org/officeDocument/2006/relationships/hyperlink" Target="https://www.vertex42.com/lambda/polyroots.html" TargetMode="External"/><Relationship Id="rId87" Type="http://schemas.openxmlformats.org/officeDocument/2006/relationships/hyperlink" Target="https://www.vertex42.com/lambda/bookmark.html" TargetMode="External"/><Relationship Id="rId61" Type="http://schemas.openxmlformats.org/officeDocument/2006/relationships/hyperlink" Target="https://www.vertex42.com/lambda/replaceblock.html" TargetMode="External"/><Relationship Id="rId82" Type="http://schemas.openxmlformats.org/officeDocument/2006/relationships/hyperlink" Target="https://www.vertex42.com/lambda/scurve.html" TargetMode="External"/><Relationship Id="rId19" Type="http://schemas.openxmlformats.org/officeDocument/2006/relationships/hyperlink" Target="https://www.vertex42.com/lambda/polyfit.html" TargetMode="External"/><Relationship Id="rId14" Type="http://schemas.openxmlformats.org/officeDocument/2006/relationships/hyperlink" Target="https://www.vertex42.com/lambda/circshift.html" TargetMode="External"/><Relationship Id="rId30" Type="http://schemas.openxmlformats.org/officeDocument/2006/relationships/hyperlink" Target="https://www.vertex42.com/lambda/linterp.html" TargetMode="External"/><Relationship Id="rId35" Type="http://schemas.openxmlformats.org/officeDocument/2006/relationships/hyperlink" Target="https://www.vertex42.com/lambda/pascal.html" TargetMode="External"/><Relationship Id="rId56" Type="http://schemas.openxmlformats.org/officeDocument/2006/relationships/hyperlink" Target="https://www.vertex42.com/lambda/complex.html" TargetMode="External"/><Relationship Id="rId77" Type="http://schemas.openxmlformats.org/officeDocument/2006/relationships/hyperlink" Target="https://www.vertex42.com/lambda/polydiv.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vertex42.com/lambda/scurve.html" TargetMode="External"/><Relationship Id="rId13" Type="http://schemas.openxmlformats.org/officeDocument/2006/relationships/hyperlink" Target="https://www.vertex42.com/lambda/byrow2d.html" TargetMode="External"/><Relationship Id="rId3" Type="http://schemas.openxmlformats.org/officeDocument/2006/relationships/hyperlink" Target="https://www.vertex42.com/lambda/roman2int.html" TargetMode="External"/><Relationship Id="rId7" Type="http://schemas.openxmlformats.org/officeDocument/2006/relationships/hyperlink" Target="https://www.vertex42.com/lambda/byrow2d.html" TargetMode="External"/><Relationship Id="rId12" Type="http://schemas.openxmlformats.org/officeDocument/2006/relationships/hyperlink" Target="https://www.youtube.com/watch?v=257yIalp5DU" TargetMode="External"/><Relationship Id="rId2" Type="http://schemas.openxmlformats.org/officeDocument/2006/relationships/hyperlink" Target="https://www.vertex42.com/lambda/sfround.html" TargetMode="External"/><Relationship Id="rId1" Type="http://schemas.openxmlformats.org/officeDocument/2006/relationships/hyperlink" Target="https://www.vertex42.com/lambda/templates.html" TargetMode="External"/><Relationship Id="rId6" Type="http://schemas.openxmlformats.org/officeDocument/2006/relationships/hyperlink" Target="https://www.vertex42.com/lambda/timer.html" TargetMode="External"/><Relationship Id="rId11" Type="http://schemas.openxmlformats.org/officeDocument/2006/relationships/hyperlink" Target="https://www.vertex42.com/lambda/bookmark.html" TargetMode="External"/><Relationship Id="rId5" Type="http://schemas.openxmlformats.org/officeDocument/2006/relationships/hyperlink" Target="https://www.vertex42.com/lambda/countchar.html" TargetMode="External"/><Relationship Id="rId10" Type="http://schemas.openxmlformats.org/officeDocument/2006/relationships/hyperlink" Target="https://www.vertex42.com/lambda/bookmark.html" TargetMode="External"/><Relationship Id="rId4" Type="http://schemas.openxmlformats.org/officeDocument/2006/relationships/hyperlink" Target="https://www.vertex42.com/lambda/text2array.html" TargetMode="External"/><Relationship Id="rId9" Type="http://schemas.openxmlformats.org/officeDocument/2006/relationships/hyperlink" Target="https://www.vertex42.com/lambda/cumulativesum.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vertex42.com/lambda/polycompan.html" TargetMode="External"/><Relationship Id="rId13" Type="http://schemas.openxmlformats.org/officeDocument/2006/relationships/hyperlink" Target="https://www.vertex42.com/lambda/polyfromroots.html" TargetMode="External"/><Relationship Id="rId18" Type="http://schemas.openxmlformats.org/officeDocument/2006/relationships/hyperlink" Target="https://www.vertex42.com/lambda/ppint.html" TargetMode="External"/><Relationship Id="rId3" Type="http://schemas.openxmlformats.org/officeDocument/2006/relationships/hyperlink" Target="https://www.vertex42.com/lambda/polyval.html" TargetMode="External"/><Relationship Id="rId21" Type="http://schemas.openxmlformats.org/officeDocument/2006/relationships/hyperlink" Target="https://www.vertex42.com/lambda/spline.html" TargetMode="External"/><Relationship Id="rId7" Type="http://schemas.openxmlformats.org/officeDocument/2006/relationships/hyperlink" Target="https://www.vertex42.com/lambda/polymult.html" TargetMode="External"/><Relationship Id="rId12" Type="http://schemas.openxmlformats.org/officeDocument/2006/relationships/hyperlink" Target="https://www.vertex42.com/lambda/polyroots.html" TargetMode="External"/><Relationship Id="rId17" Type="http://schemas.openxmlformats.org/officeDocument/2006/relationships/hyperlink" Target="https://www.vertex42.com/lambda/polydiv.html" TargetMode="External"/><Relationship Id="rId2" Type="http://schemas.openxmlformats.org/officeDocument/2006/relationships/hyperlink" Target="https://www.vertex42.com/lambda/polyfit.html" TargetMode="External"/><Relationship Id="rId16" Type="http://schemas.openxmlformats.org/officeDocument/2006/relationships/hyperlink" Target="https://www.vertex42.com/lambda/polyadd.html" TargetMode="External"/><Relationship Id="rId20" Type="http://schemas.openxmlformats.org/officeDocument/2006/relationships/hyperlink" Target="https://www.vertex42.com/lambda/nspline.html" TargetMode="External"/><Relationship Id="rId1" Type="http://schemas.openxmlformats.org/officeDocument/2006/relationships/hyperlink" Target="https://www.vertex42.com/lambda/templates.html" TargetMode="External"/><Relationship Id="rId6" Type="http://schemas.openxmlformats.org/officeDocument/2006/relationships/hyperlink" Target="https://www.vertex42.com/lambda/polyder.html" TargetMode="External"/><Relationship Id="rId11" Type="http://schemas.openxmlformats.org/officeDocument/2006/relationships/hyperlink" Target="https://www.vertex42.com/lambda/cspline.html" TargetMode="External"/><Relationship Id="rId5" Type="http://schemas.openxmlformats.org/officeDocument/2006/relationships/hyperlink" Target="https://www.vertex42.com/lambda/pinterp.html" TargetMode="External"/><Relationship Id="rId15" Type="http://schemas.openxmlformats.org/officeDocument/2006/relationships/hyperlink" Target="https://www.vertex42.com/lambda/polyadd.html" TargetMode="External"/><Relationship Id="rId23" Type="http://schemas.openxmlformats.org/officeDocument/2006/relationships/drawing" Target="../drawings/drawing2.xml"/><Relationship Id="rId10" Type="http://schemas.openxmlformats.org/officeDocument/2006/relationships/hyperlink" Target="https://www.vertex42.com/lambda/quadratic.html" TargetMode="External"/><Relationship Id="rId19" Type="http://schemas.openxmlformats.org/officeDocument/2006/relationships/hyperlink" Target="https://www.vertex42.com/lambda/ppder.html" TargetMode="External"/><Relationship Id="rId4" Type="http://schemas.openxmlformats.org/officeDocument/2006/relationships/hyperlink" Target="https://www.vertex42.com/lambda/linterp.html" TargetMode="External"/><Relationship Id="rId9" Type="http://schemas.openxmlformats.org/officeDocument/2006/relationships/hyperlink" Target="https://www.vertex42.com/lambda/ppval.html" TargetMode="External"/><Relationship Id="rId14" Type="http://schemas.openxmlformats.org/officeDocument/2006/relationships/hyperlink" Target="https://www.vertex42.com/lambda/polyint.html"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vertex42.com/lambda/isprime.html" TargetMode="External"/><Relationship Id="rId3" Type="http://schemas.openxmlformats.org/officeDocument/2006/relationships/hyperlink" Target="https://www.vertex42.com/lambda/linspace.html" TargetMode="External"/><Relationship Id="rId7" Type="http://schemas.openxmlformats.org/officeDocument/2006/relationships/hyperlink" Target="https://www.vertex42.com/lambda/fibonacci.html" TargetMode="External"/><Relationship Id="rId2" Type="http://schemas.openxmlformats.org/officeDocument/2006/relationships/hyperlink" Target="https://www.vertex42.com/lambda/se.html" TargetMode="External"/><Relationship Id="rId1" Type="http://schemas.openxmlformats.org/officeDocument/2006/relationships/hyperlink" Target="https://www.vertex42.com/lambda/templates.html" TargetMode="External"/><Relationship Id="rId6" Type="http://schemas.openxmlformats.org/officeDocument/2006/relationships/hyperlink" Target="https://www.vertex42.com/lambda/rescale.html" TargetMode="External"/><Relationship Id="rId11" Type="http://schemas.openxmlformats.org/officeDocument/2006/relationships/drawing" Target="../drawings/drawing3.xml"/><Relationship Id="rId5" Type="http://schemas.openxmlformats.org/officeDocument/2006/relationships/hyperlink" Target="https://www.vertex42.com/lambda/meshgrid.html" TargetMode="External"/><Relationship Id="rId10" Type="http://schemas.openxmlformats.org/officeDocument/2006/relationships/printerSettings" Target="../printerSettings/printerSettings4.bin"/><Relationship Id="rId4" Type="http://schemas.openxmlformats.org/officeDocument/2006/relationships/hyperlink" Target="https://www.vertex42.com/lambda/logspace.html" TargetMode="External"/><Relationship Id="rId9" Type="http://schemas.openxmlformats.org/officeDocument/2006/relationships/hyperlink" Target="https://www.vertex42.com/lambda/isprime.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vertex42.com/lambda/combinr.html" TargetMode="External"/><Relationship Id="rId13" Type="http://schemas.openxmlformats.org/officeDocument/2006/relationships/hyperlink" Target="https://learn.microsoft.com/en-us/dax/crossjoin-function-dax" TargetMode="External"/><Relationship Id="rId3" Type="http://schemas.openxmlformats.org/officeDocument/2006/relationships/hyperlink" Target="https://www.vertex42.com/lambda/rot90.html" TargetMode="External"/><Relationship Id="rId7" Type="http://schemas.openxmlformats.org/officeDocument/2006/relationships/hyperlink" Target="https://www.vertex42.com/lambda/combinations.html" TargetMode="External"/><Relationship Id="rId12" Type="http://schemas.openxmlformats.org/officeDocument/2006/relationships/hyperlink" Target="https://www.vertex42.com/lambda/permutations.html" TargetMode="External"/><Relationship Id="rId2" Type="http://schemas.openxmlformats.org/officeDocument/2006/relationships/hyperlink" Target="https://www.vertex42.com/lambda/flip.html" TargetMode="External"/><Relationship Id="rId16" Type="http://schemas.openxmlformats.org/officeDocument/2006/relationships/drawing" Target="../drawings/drawing4.xml"/><Relationship Id="rId1" Type="http://schemas.openxmlformats.org/officeDocument/2006/relationships/hyperlink" Target="https://www.vertex42.com/lambda/templates.html" TargetMode="External"/><Relationship Id="rId6" Type="http://schemas.openxmlformats.org/officeDocument/2006/relationships/hyperlink" Target="https://www.vertex42.com/lambda/repelem.html" TargetMode="External"/><Relationship Id="rId11" Type="http://schemas.openxmlformats.org/officeDocument/2006/relationships/hyperlink" Target="https://www.vertex42.com/lambda/splice.html" TargetMode="External"/><Relationship Id="rId5" Type="http://schemas.openxmlformats.org/officeDocument/2006/relationships/hyperlink" Target="https://www.vertex42.com/lambda/reparray.html" TargetMode="External"/><Relationship Id="rId15" Type="http://schemas.openxmlformats.org/officeDocument/2006/relationships/printerSettings" Target="../printerSettings/printerSettings5.bin"/><Relationship Id="rId10" Type="http://schemas.openxmlformats.org/officeDocument/2006/relationships/hyperlink" Target="https://www.vertex42.com/lambda/slice.html" TargetMode="External"/><Relationship Id="rId4" Type="http://schemas.openxmlformats.org/officeDocument/2006/relationships/hyperlink" Target="https://www.vertex42.com/lambda/circshift.html" TargetMode="External"/><Relationship Id="rId9" Type="http://schemas.openxmlformats.org/officeDocument/2006/relationships/hyperlink" Target="https://www.vertex42.com/lambda/replaceblock.html" TargetMode="External"/><Relationship Id="rId14" Type="http://schemas.openxmlformats.org/officeDocument/2006/relationships/hyperlink" Target="https://www.vertex42.com/lambda/rot45.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vertex42.com/lambda/dot.html" TargetMode="External"/><Relationship Id="rId13" Type="http://schemas.openxmlformats.org/officeDocument/2006/relationships/hyperlink" Target="https://www.mathworks.com/help/matlab/ref/hess.html" TargetMode="External"/><Relationship Id="rId18" Type="http://schemas.openxmlformats.org/officeDocument/2006/relationships/hyperlink" Target="https://www.vertex42.com/lambda/eigenvalue.html" TargetMode="External"/><Relationship Id="rId3" Type="http://schemas.openxmlformats.org/officeDocument/2006/relationships/hyperlink" Target="https://www.vertex42.com/lambda/trace.html" TargetMode="External"/><Relationship Id="rId7" Type="http://schemas.openxmlformats.org/officeDocument/2006/relationships/hyperlink" Target="https://www.vertex42.com/lambda/ones-and-zeros.html" TargetMode="External"/><Relationship Id="rId12" Type="http://schemas.openxmlformats.org/officeDocument/2006/relationships/hyperlink" Target="https://www.youtube.com/watch?v=t_bj3V9Ubac" TargetMode="External"/><Relationship Id="rId17" Type="http://schemas.openxmlformats.org/officeDocument/2006/relationships/hyperlink" Target="https://www.vertex42.com/lambda/cholesky.html" TargetMode="External"/><Relationship Id="rId2" Type="http://schemas.openxmlformats.org/officeDocument/2006/relationships/hyperlink" Target="https://www.vertex42.com/lambda/diag.html" TargetMode="External"/><Relationship Id="rId16" Type="http://schemas.openxmlformats.org/officeDocument/2006/relationships/hyperlink" Target="https://www.mathworks.com/help/matlab/ref/qr.html" TargetMode="External"/><Relationship Id="rId1" Type="http://schemas.openxmlformats.org/officeDocument/2006/relationships/hyperlink" Target="https://www.vertex42.com/lambda/templates.html" TargetMode="External"/><Relationship Id="rId6" Type="http://schemas.openxmlformats.org/officeDocument/2006/relationships/hyperlink" Target="https://www.vertex42.com/lambda/magnitude.html" TargetMode="External"/><Relationship Id="rId11" Type="http://schemas.openxmlformats.org/officeDocument/2006/relationships/hyperlink" Target="https://www.vertex42.com/lambda/hess.html" TargetMode="External"/><Relationship Id="rId5" Type="http://schemas.openxmlformats.org/officeDocument/2006/relationships/hyperlink" Target="https://www.vertex42.com/lambda/rowsum-and-colsum.html" TargetMode="External"/><Relationship Id="rId15" Type="http://schemas.openxmlformats.org/officeDocument/2006/relationships/hyperlink" Target="https://en.wikipedia.org/wiki/QR_decomposition" TargetMode="External"/><Relationship Id="rId10" Type="http://schemas.openxmlformats.org/officeDocument/2006/relationships/hyperlink" Target="https://www.vertex42.com/lambda/pascal.html" TargetMode="External"/><Relationship Id="rId19" Type="http://schemas.openxmlformats.org/officeDocument/2006/relationships/printerSettings" Target="../printerSettings/printerSettings6.bin"/><Relationship Id="rId4" Type="http://schemas.openxmlformats.org/officeDocument/2006/relationships/hyperlink" Target="https://www.vertex42.com/lambda/issymmetric.html" TargetMode="External"/><Relationship Id="rId9" Type="http://schemas.openxmlformats.org/officeDocument/2006/relationships/hyperlink" Target="https://www.vertex42.com/lambda/cross.html" TargetMode="External"/><Relationship Id="rId14" Type="http://schemas.openxmlformats.org/officeDocument/2006/relationships/hyperlink" Target="https://www.vertex42.com/lambda/qr.html"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vertex42.com/lambda/fdiff.html" TargetMode="External"/><Relationship Id="rId7" Type="http://schemas.openxmlformats.org/officeDocument/2006/relationships/printerSettings" Target="../printerSettings/printerSettings7.bin"/><Relationship Id="rId2" Type="http://schemas.openxmlformats.org/officeDocument/2006/relationships/hyperlink" Target="https://www.vertex42.com/lambda/diff.html" TargetMode="External"/><Relationship Id="rId1" Type="http://schemas.openxmlformats.org/officeDocument/2006/relationships/hyperlink" Target="https://www.vertex42.com/lambda/templates.html" TargetMode="External"/><Relationship Id="rId6" Type="http://schemas.openxmlformats.org/officeDocument/2006/relationships/hyperlink" Target="https://www.vertex42.com/lambda/simpson.html" TargetMode="External"/><Relationship Id="rId5" Type="http://schemas.openxmlformats.org/officeDocument/2006/relationships/hyperlink" Target="https://www.vertex42.com/lambda/trapz.html" TargetMode="External"/><Relationship Id="rId4" Type="http://schemas.openxmlformats.org/officeDocument/2006/relationships/hyperlink" Target="https://www.vertex42.com/lambda/pdiff.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vertex42.com/lambda/structures.html" TargetMode="External"/><Relationship Id="rId1" Type="http://schemas.openxmlformats.org/officeDocument/2006/relationships/hyperlink" Target="https://www.vertex42.com/lambda/templates.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vertex42.com/lambda/templates.html" TargetMode="External"/><Relationship Id="rId1" Type="http://schemas.openxmlformats.org/officeDocument/2006/relationships/hyperlink" Target="https://www.vertex42.com/lambda/mit.html"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L201"/>
  <sheetViews>
    <sheetView showGridLines="0" tabSelected="1" zoomScaleNormal="100" workbookViewId="0"/>
  </sheetViews>
  <sheetFormatPr defaultRowHeight="14.25" x14ac:dyDescent="0.2"/>
  <cols>
    <col min="1" max="1" width="4.5" customWidth="1"/>
    <col min="2" max="3" width="11.125" customWidth="1"/>
    <col min="4" max="4" width="4" customWidth="1"/>
    <col min="5" max="12" width="11.125" customWidth="1"/>
    <col min="13" max="14" width="10.75" customWidth="1"/>
  </cols>
  <sheetData>
    <row r="1" spans="1:11" ht="36.950000000000003" customHeight="1" x14ac:dyDescent="0.2">
      <c r="A1" s="1"/>
      <c r="B1" s="2" t="s">
        <v>1</v>
      </c>
      <c r="C1" s="1"/>
      <c r="D1" s="1"/>
      <c r="E1" s="1"/>
      <c r="F1" s="1"/>
      <c r="G1" s="1"/>
      <c r="H1" s="1"/>
      <c r="I1" s="1"/>
      <c r="J1" s="209" t="e" vm="1">
        <v>#VALUE!</v>
      </c>
      <c r="K1" s="209"/>
    </row>
    <row r="2" spans="1:11" ht="18" customHeight="1" x14ac:dyDescent="0.2">
      <c r="B2" s="3" t="s">
        <v>55</v>
      </c>
      <c r="K2" s="4" t="s">
        <v>909</v>
      </c>
    </row>
    <row r="3" spans="1:11" ht="18" customHeight="1" x14ac:dyDescent="0.2"/>
    <row r="4" spans="1:11" ht="18" customHeight="1" x14ac:dyDescent="0.2">
      <c r="B4" s="21" t="s">
        <v>35</v>
      </c>
    </row>
    <row r="5" spans="1:11" ht="18" customHeight="1" x14ac:dyDescent="0.2">
      <c r="B5" s="211" t="s">
        <v>84</v>
      </c>
      <c r="C5" s="211"/>
      <c r="D5" s="211"/>
      <c r="E5" s="211"/>
      <c r="F5" s="211"/>
      <c r="G5" s="211"/>
      <c r="H5" s="211"/>
      <c r="I5" s="211"/>
      <c r="J5" s="211"/>
      <c r="K5" s="211"/>
    </row>
    <row r="6" spans="1:11" ht="18" customHeight="1" x14ac:dyDescent="0.2">
      <c r="B6" s="211"/>
      <c r="C6" s="211"/>
      <c r="D6" s="211"/>
      <c r="E6" s="211"/>
      <c r="F6" s="211"/>
      <c r="G6" s="211"/>
      <c r="H6" s="211"/>
      <c r="I6" s="211"/>
      <c r="J6" s="211"/>
      <c r="K6" s="211"/>
    </row>
    <row r="7" spans="1:11" ht="18" customHeight="1" x14ac:dyDescent="0.2"/>
    <row r="8" spans="1:11" ht="18" customHeight="1" x14ac:dyDescent="0.2">
      <c r="B8" s="24" t="s">
        <v>34</v>
      </c>
      <c r="C8" s="25"/>
      <c r="D8" s="25"/>
      <c r="F8" s="26">
        <f>COUNTA(E31:E145)</f>
        <v>91</v>
      </c>
      <c r="G8" s="29" t="s">
        <v>38</v>
      </c>
      <c r="H8" s="22" t="s">
        <v>45</v>
      </c>
      <c r="J8" s="29" t="s">
        <v>238</v>
      </c>
      <c r="K8" s="29" t="s">
        <v>917</v>
      </c>
    </row>
    <row r="9" spans="1:11" ht="18" customHeight="1" x14ac:dyDescent="0.2"/>
    <row r="10" spans="1:11" ht="23.25" x14ac:dyDescent="0.2">
      <c r="B10" s="145" t="s">
        <v>736</v>
      </c>
    </row>
    <row r="11" spans="1:11" ht="18" customHeight="1" x14ac:dyDescent="0.2">
      <c r="B11" s="211" t="s">
        <v>743</v>
      </c>
      <c r="C11" s="211"/>
      <c r="D11" s="211"/>
      <c r="E11" s="211"/>
      <c r="F11" s="211"/>
      <c r="G11" s="211"/>
      <c r="H11" s="211"/>
      <c r="I11" s="211"/>
      <c r="J11" s="211"/>
      <c r="K11" s="211"/>
    </row>
    <row r="12" spans="1:11" ht="18" customHeight="1" x14ac:dyDescent="0.2">
      <c r="B12" s="211"/>
      <c r="C12" s="211"/>
      <c r="D12" s="211"/>
      <c r="E12" s="211"/>
      <c r="F12" s="211"/>
      <c r="G12" s="211"/>
      <c r="H12" s="211"/>
      <c r="I12" s="211"/>
      <c r="J12" s="211"/>
      <c r="K12" s="211"/>
    </row>
    <row r="13" spans="1:11" ht="18" customHeight="1" x14ac:dyDescent="0.2">
      <c r="B13" s="211"/>
      <c r="C13" s="211"/>
      <c r="D13" s="211"/>
      <c r="E13" s="211"/>
      <c r="F13" s="211"/>
      <c r="G13" s="211"/>
      <c r="H13" s="211"/>
      <c r="I13" s="211"/>
      <c r="J13" s="211"/>
      <c r="K13" s="211"/>
    </row>
    <row r="14" spans="1:11" ht="18" customHeight="1" x14ac:dyDescent="0.2"/>
    <row r="15" spans="1:11" ht="18" customHeight="1" x14ac:dyDescent="0.2">
      <c r="B15" s="21" t="s">
        <v>790</v>
      </c>
    </row>
    <row r="16" spans="1:11" ht="18" customHeight="1" x14ac:dyDescent="0.2">
      <c r="B16" s="211" t="s">
        <v>872</v>
      </c>
      <c r="C16" s="211"/>
      <c r="D16" s="211"/>
      <c r="E16" s="211"/>
      <c r="F16" s="211"/>
      <c r="G16" s="211"/>
      <c r="H16" s="211"/>
      <c r="I16" s="211"/>
      <c r="J16" s="211"/>
      <c r="K16" s="211"/>
    </row>
    <row r="17" spans="1:12" ht="18" customHeight="1" x14ac:dyDescent="0.2">
      <c r="B17" s="211"/>
      <c r="C17" s="211"/>
      <c r="D17" s="211"/>
      <c r="E17" s="211"/>
      <c r="F17" s="211"/>
      <c r="G17" s="211"/>
      <c r="H17" s="211"/>
      <c r="I17" s="211"/>
      <c r="J17" s="211"/>
      <c r="K17" s="211"/>
    </row>
    <row r="18" spans="1:12" ht="18" customHeight="1" x14ac:dyDescent="0.2"/>
    <row r="19" spans="1:12" ht="18" customHeight="1" x14ac:dyDescent="0.2">
      <c r="B19" s="21" t="s">
        <v>36</v>
      </c>
    </row>
    <row r="20" spans="1:12" ht="18" customHeight="1" x14ac:dyDescent="0.2">
      <c r="B20" s="211" t="s">
        <v>821</v>
      </c>
      <c r="C20" s="211"/>
      <c r="D20" s="211"/>
      <c r="E20" s="211"/>
      <c r="F20" s="211"/>
      <c r="G20" s="211"/>
      <c r="H20" s="211"/>
      <c r="I20" s="211"/>
      <c r="J20" s="211"/>
      <c r="K20" s="211"/>
    </row>
    <row r="21" spans="1:12" ht="18" customHeight="1" x14ac:dyDescent="0.2">
      <c r="B21" s="211"/>
      <c r="C21" s="211"/>
      <c r="D21" s="211"/>
      <c r="E21" s="211"/>
      <c r="F21" s="211"/>
      <c r="G21" s="211"/>
      <c r="H21" s="211"/>
      <c r="I21" s="211"/>
      <c r="J21" s="211"/>
      <c r="K21" s="211"/>
    </row>
    <row r="22" spans="1:12" ht="18" customHeight="1" x14ac:dyDescent="0.2">
      <c r="B22" s="211"/>
      <c r="C22" s="211"/>
      <c r="D22" s="211"/>
      <c r="E22" s="211"/>
      <c r="F22" s="211"/>
      <c r="G22" s="211"/>
      <c r="H22" s="211"/>
      <c r="I22" s="211"/>
      <c r="J22" s="211"/>
      <c r="K22" s="211"/>
    </row>
    <row r="23" spans="1:12" ht="18" customHeight="1" x14ac:dyDescent="0.2"/>
    <row r="24" spans="1:12" ht="18" customHeight="1" x14ac:dyDescent="0.2">
      <c r="B24" s="21" t="s">
        <v>79</v>
      </c>
    </row>
    <row r="25" spans="1:12" ht="18" customHeight="1" x14ac:dyDescent="0.2">
      <c r="B25" s="3" t="s">
        <v>78</v>
      </c>
    </row>
    <row r="26" spans="1:12" ht="18" customHeight="1" x14ac:dyDescent="0.2"/>
    <row r="27" spans="1:12" ht="18" customHeight="1" x14ac:dyDescent="0.2">
      <c r="A27" s="7" t="s">
        <v>6</v>
      </c>
      <c r="B27" s="12" t="s">
        <v>31</v>
      </c>
      <c r="C27" s="8"/>
      <c r="D27" s="8"/>
      <c r="E27" s="8"/>
      <c r="F27" s="8"/>
      <c r="G27" s="8"/>
      <c r="H27" s="8"/>
      <c r="I27" s="8"/>
      <c r="J27" s="8"/>
      <c r="K27" s="8"/>
      <c r="L27" s="7"/>
    </row>
    <row r="28" spans="1:12" ht="18" customHeight="1" x14ac:dyDescent="0.2">
      <c r="A28" s="7"/>
      <c r="B28" s="211" t="s">
        <v>651</v>
      </c>
      <c r="C28" s="211"/>
      <c r="D28" s="211"/>
      <c r="E28" s="211"/>
      <c r="F28" s="211"/>
      <c r="G28" s="211"/>
      <c r="H28" s="211"/>
      <c r="I28" s="211"/>
      <c r="J28" s="211"/>
      <c r="K28" s="211"/>
      <c r="L28" s="7"/>
    </row>
    <row r="29" spans="1:12" ht="18" customHeight="1" x14ac:dyDescent="0.2">
      <c r="A29" s="7"/>
      <c r="B29" s="211"/>
      <c r="C29" s="211"/>
      <c r="D29" s="211"/>
      <c r="E29" s="211"/>
      <c r="F29" s="211"/>
      <c r="G29" s="211"/>
      <c r="H29" s="211"/>
      <c r="I29" s="211"/>
      <c r="J29" s="211"/>
      <c r="K29" s="211"/>
      <c r="L29" s="7"/>
    </row>
    <row r="30" spans="1:12" ht="18" customHeight="1" x14ac:dyDescent="0.2">
      <c r="A30" s="7"/>
      <c r="B30" s="211"/>
      <c r="C30" s="211"/>
      <c r="D30" s="211"/>
      <c r="E30" s="211"/>
      <c r="F30" s="211"/>
      <c r="G30" s="211"/>
      <c r="H30" s="211"/>
      <c r="I30" s="211"/>
      <c r="J30" s="211"/>
      <c r="K30" s="211"/>
      <c r="L30" s="7"/>
    </row>
    <row r="31" spans="1:12" x14ac:dyDescent="0.2">
      <c r="B31" s="21" t="s">
        <v>625</v>
      </c>
      <c r="D31" s="44"/>
    </row>
    <row r="32" spans="1:12" ht="15" x14ac:dyDescent="0.25">
      <c r="B32" s="35" t="s">
        <v>77</v>
      </c>
      <c r="C32" s="23" t="str" cm="1">
        <f t="array" ref="C32">IFERROR(L.SE(),"Ctrl+c")</f>
        <v>Ctrl+c</v>
      </c>
      <c r="D32" s="27" t="str" cm="1">
        <f t="array" aca="1" ref="D32" ca="1">HYPERLINK(L.BOOKMARK(Sequences!B10),"►")</f>
        <v>►</v>
      </c>
      <c r="E32" t="s">
        <v>664</v>
      </c>
    </row>
    <row r="33" spans="2:5" ht="15" x14ac:dyDescent="0.2">
      <c r="B33" s="35" t="s">
        <v>77</v>
      </c>
      <c r="C33" s="23" t="str" cm="1">
        <f t="array" ref="C33">IFERROR(L.LINSPACE(),"Ctrl+c")</f>
        <v>Ctrl+c</v>
      </c>
      <c r="D33" s="27" t="str" cm="1">
        <f t="array" aca="1" ref="D33" ca="1">HYPERLINK(L.BOOKMARK(Sequences!$B$28),"►")</f>
        <v>►</v>
      </c>
      <c r="E33" s="20" t="s">
        <v>665</v>
      </c>
    </row>
    <row r="34" spans="2:5" ht="15" x14ac:dyDescent="0.2">
      <c r="B34" s="35" t="s">
        <v>77</v>
      </c>
      <c r="C34" s="23" t="str" cm="1">
        <f t="array" ref="C34">IFERROR(L.LOGSPACE(),"Ctrl+c")</f>
        <v>Ctrl+c</v>
      </c>
      <c r="D34" s="27" t="str" cm="1">
        <f t="array" aca="1" ref="D34" ca="1">HYPERLINK(L.BOOKMARK(Sequences!B56),"►")</f>
        <v>►</v>
      </c>
      <c r="E34" s="20" t="s">
        <v>666</v>
      </c>
    </row>
    <row r="35" spans="2:5" ht="15" x14ac:dyDescent="0.2">
      <c r="B35" s="35" t="s">
        <v>77</v>
      </c>
      <c r="C35" s="23" t="str" cm="1">
        <f t="array" ref="C35">IFERROR(L.RESCALE(),"Ctrl+c")</f>
        <v>Ctrl+c</v>
      </c>
      <c r="D35" s="27" t="str" cm="1">
        <f t="array" aca="1" ref="D35" ca="1">HYPERLINK(L.BOOKMARK(Sequences!B95),"►")</f>
        <v>►</v>
      </c>
      <c r="E35" s="7" t="s">
        <v>667</v>
      </c>
    </row>
    <row r="36" spans="2:5" ht="15" x14ac:dyDescent="0.2">
      <c r="B36" s="35" t="s">
        <v>77</v>
      </c>
      <c r="C36" s="23" t="str" cm="1">
        <f t="array" ref="C36">IFERROR(L.MESHGRID(),"Ctrl+c")</f>
        <v>Ctrl+c</v>
      </c>
      <c r="D36" s="27" t="str" cm="1">
        <f t="array" aca="1" ref="D36" ca="1">HYPERLINK(L.BOOKMARK(Sequences!B75),"►")</f>
        <v>►</v>
      </c>
      <c r="E36" s="20" t="s">
        <v>669</v>
      </c>
    </row>
    <row r="37" spans="2:5" ht="15" x14ac:dyDescent="0.2">
      <c r="B37" s="35" t="s">
        <v>77</v>
      </c>
      <c r="C37" s="23" t="str" cm="1">
        <f t="array" ref="C37">IFERROR(L.ISUNIFORM(),"Ctrl+c")</f>
        <v>Ctrl+c</v>
      </c>
      <c r="D37" s="27" t="str" cm="1">
        <f t="array" aca="1" ref="D37" ca="1">HYPERLINK(L.BOOKMARK(Sequences!D37),"►")</f>
        <v>►</v>
      </c>
      <c r="E37" s="20" t="s">
        <v>668</v>
      </c>
    </row>
    <row r="38" spans="2:5" ht="15" x14ac:dyDescent="0.2">
      <c r="B38" s="35" t="s">
        <v>77</v>
      </c>
      <c r="C38" s="23" t="str" cm="1">
        <f t="array" ref="C38">IFERROR(L.FIBONACCI(),"Ctrl+c")</f>
        <v>Ctrl+c</v>
      </c>
      <c r="D38" s="27" t="str" cm="1">
        <f t="array" aca="1" ref="D38" ca="1">HYPERLINK(L.BOOKMARK(Sequences!B121),"►")</f>
        <v>►</v>
      </c>
      <c r="E38" s="20" t="s">
        <v>670</v>
      </c>
    </row>
    <row r="39" spans="2:5" ht="15" x14ac:dyDescent="0.2">
      <c r="B39" s="35" t="s">
        <v>77</v>
      </c>
      <c r="C39" s="23" t="str" cm="1">
        <f t="array" ref="C39">IFERROR(L.ISPRIME(),"Ctrl+c")</f>
        <v>Ctrl+c</v>
      </c>
      <c r="D39" s="27" t="str" cm="1">
        <f t="array" aca="1" ref="D39" ca="1">HYPERLINK(L.BOOKMARK(Sequences!B136),"►")</f>
        <v>►</v>
      </c>
      <c r="E39" s="20" t="s">
        <v>875</v>
      </c>
    </row>
    <row r="40" spans="2:5" ht="15" x14ac:dyDescent="0.2">
      <c r="B40" s="35" t="s">
        <v>77</v>
      </c>
      <c r="C40" s="23" t="str" cm="1">
        <f t="array" ref="C40">IFERROR(L.Primes(0),"Ctrl+c")</f>
        <v>Ctrl+c</v>
      </c>
      <c r="D40" s="27" t="str" cm="1">
        <f t="array" aca="1" ref="D40" ca="1">HYPERLINK(L.BOOKMARK(Sequences!B154),"►")</f>
        <v>►</v>
      </c>
      <c r="E40" s="20" t="s">
        <v>876</v>
      </c>
    </row>
    <row r="41" spans="2:5" x14ac:dyDescent="0.2">
      <c r="D41" s="44"/>
    </row>
    <row r="42" spans="2:5" x14ac:dyDescent="0.2">
      <c r="B42" s="21" t="s">
        <v>624</v>
      </c>
      <c r="D42" s="44"/>
    </row>
    <row r="43" spans="2:5" ht="15" x14ac:dyDescent="0.2">
      <c r="B43" s="35" t="s">
        <v>77</v>
      </c>
      <c r="C43" s="23" t="str" cm="1">
        <f t="array" ref="C43">IFERROR(L.FLIP(),"Ctrl+c")</f>
        <v>Ctrl+c</v>
      </c>
      <c r="D43" s="27" t="str" cm="1">
        <f t="array" aca="1" ref="D43" ca="1">HYPERLINK(L.BOOKMARK(Arrays!$B$28),"►")</f>
        <v>►</v>
      </c>
      <c r="E43" s="7" t="s">
        <v>671</v>
      </c>
    </row>
    <row r="44" spans="2:5" ht="15" x14ac:dyDescent="0.2">
      <c r="B44" s="35" t="s">
        <v>77</v>
      </c>
      <c r="C44" s="23" t="str" cm="1">
        <f t="array" ref="C44">IFERROR(L.FLIPLR(),"Ctrl+c")</f>
        <v>Ctrl+c</v>
      </c>
      <c r="D44" s="27" t="str" cm="1">
        <f t="array" aca="1" ref="D44" ca="1">HYPERLINK(L.BOOKMARK(Arrays!$B$28),"►")</f>
        <v>►</v>
      </c>
      <c r="E44" s="7" t="s">
        <v>672</v>
      </c>
    </row>
    <row r="45" spans="2:5" ht="15" x14ac:dyDescent="0.2">
      <c r="B45" s="35" t="s">
        <v>77</v>
      </c>
      <c r="C45" s="23" t="str" cm="1">
        <f t="array" ref="C45">IFERROR(L.FLIPUD(),"Ctrl+c")</f>
        <v>Ctrl+c</v>
      </c>
      <c r="D45" s="27" t="str" cm="1">
        <f t="array" aca="1" ref="D45" ca="1">HYPERLINK(L.BOOKMARK(Arrays!$B$28),"►")</f>
        <v>►</v>
      </c>
      <c r="E45" s="7" t="s">
        <v>673</v>
      </c>
    </row>
    <row r="46" spans="2:5" ht="15" x14ac:dyDescent="0.2">
      <c r="B46" s="35" t="s">
        <v>77</v>
      </c>
      <c r="C46" s="23" t="str" cm="1">
        <f t="array" aca="1" ref="C46" ca="1">IFERROR(L.ROT90(),"Ctrl+c")</f>
        <v>Ctrl+c</v>
      </c>
      <c r="D46" s="27" t="str" cm="1">
        <f t="array" aca="1" ref="D46" ca="1">HYPERLINK(L.BOOKMARK(Arrays!B54),"►")</f>
        <v>►</v>
      </c>
      <c r="E46" s="7" t="s">
        <v>674</v>
      </c>
    </row>
    <row r="47" spans="2:5" ht="15" x14ac:dyDescent="0.2">
      <c r="B47" s="35" t="s">
        <v>77</v>
      </c>
      <c r="C47" s="23" t="str" cm="1">
        <f t="array" aca="1" ref="C47" ca="1">IFERROR(L.ROT45(),"Ctrl+c")</f>
        <v>Ctrl+c</v>
      </c>
      <c r="D47" s="27" t="str" cm="1">
        <f t="array" aca="1" ref="D47" ca="1">HYPERLINK(L.BOOKMARK(Arrays!B79),"►")</f>
        <v>►</v>
      </c>
      <c r="E47" s="7" t="s">
        <v>907</v>
      </c>
    </row>
    <row r="48" spans="2:5" ht="15" x14ac:dyDescent="0.2">
      <c r="B48" s="35" t="s">
        <v>77</v>
      </c>
      <c r="C48" s="23" t="str" cm="1">
        <f t="array" ref="C48">IFERROR(L.CIRCSHIFT(),"Ctrl+c")</f>
        <v>Ctrl+c</v>
      </c>
      <c r="D48" s="27" t="str" cm="1">
        <f t="array" aca="1" ref="D48" ca="1">HYPERLINK(L.BOOKMARK(Arrays!B112),"►")</f>
        <v>►</v>
      </c>
      <c r="E48" s="7" t="s">
        <v>675</v>
      </c>
    </row>
    <row r="49" spans="2:5" ht="15" x14ac:dyDescent="0.2">
      <c r="B49" s="35" t="s">
        <v>77</v>
      </c>
      <c r="C49" s="23" t="str" cm="1">
        <f t="array" ref="C49">IFERROR(L.SLICE(),"Ctrl+c")</f>
        <v>Ctrl+c</v>
      </c>
      <c r="D49" s="27" t="str" cm="1">
        <f t="array" aca="1" ref="D49" ca="1">HYPERLINK(L.BOOKMARK(Arrays!B202),"►")</f>
        <v>►</v>
      </c>
      <c r="E49" s="7" t="s">
        <v>676</v>
      </c>
    </row>
    <row r="50" spans="2:5" ht="15" x14ac:dyDescent="0.2">
      <c r="B50" s="35" t="s">
        <v>77</v>
      </c>
      <c r="C50" s="23" t="str" cm="1">
        <f t="array" ref="C50">IFERROR(L.SPLICE(),"Ctrl+c")</f>
        <v>Ctrl+c</v>
      </c>
      <c r="D50" s="27" t="str" cm="1">
        <f t="array" aca="1" ref="D50" ca="1">HYPERLINK(L.BOOKMARK(Arrays!B220),"►")</f>
        <v>►</v>
      </c>
      <c r="E50" s="7" t="s">
        <v>677</v>
      </c>
    </row>
    <row r="51" spans="2:5" ht="15" x14ac:dyDescent="0.2">
      <c r="B51" s="35" t="s">
        <v>77</v>
      </c>
      <c r="C51" s="23" t="str" cm="1">
        <f t="array" ref="C51">IFERROR(L.REPARRAY(),"Ctrl+c")</f>
        <v>Ctrl+c</v>
      </c>
      <c r="D51" s="27" t="str" cm="1">
        <f t="array" aca="1" ref="D51" ca="1">HYPERLINK(L.BOOKMARK(Arrays!B138),"►")</f>
        <v>►</v>
      </c>
      <c r="E51" s="7" t="s">
        <v>678</v>
      </c>
    </row>
    <row r="52" spans="2:5" ht="15" x14ac:dyDescent="0.2">
      <c r="B52" s="35" t="s">
        <v>77</v>
      </c>
      <c r="C52" s="23" t="str" cm="1">
        <f t="array" ref="C52">IFERROR(L.REPELEM(),"Ctrl+c")</f>
        <v>Ctrl+c</v>
      </c>
      <c r="D52" s="27" t="str" cm="1">
        <f t="array" aca="1" ref="D52" ca="1">HYPERLINK(L.BOOKMARK(Arrays!B156),"►")</f>
        <v>►</v>
      </c>
      <c r="E52" s="7" t="s">
        <v>679</v>
      </c>
    </row>
    <row r="53" spans="2:5" ht="15" x14ac:dyDescent="0.2">
      <c r="B53" s="35" t="s">
        <v>77</v>
      </c>
      <c r="C53" s="23" t="str" cm="1">
        <f t="array" ref="C53">IFERROR(L.REPLACEBLOCK(),"Ctrl+c")</f>
        <v>Ctrl+c</v>
      </c>
      <c r="D53" s="27" t="str" cm="1">
        <f t="array" aca="1" ref="D53" ca="1">HYPERLINK(L.BOOKMARK(Arrays!B244),"►")</f>
        <v>►</v>
      </c>
      <c r="E53" s="7" t="s">
        <v>680</v>
      </c>
    </row>
    <row r="54" spans="2:5" ht="15" x14ac:dyDescent="0.2">
      <c r="B54" s="35" t="s">
        <v>77</v>
      </c>
      <c r="C54" s="23" t="str" cm="1">
        <f t="array" ref="C54">IFERROR(L.COMBINATIONS(),"Ctrl+c")</f>
        <v>Ctrl+c</v>
      </c>
      <c r="D54" s="27" t="str" cm="1">
        <f t="array" aca="1" ref="D54" ca="1">HYPERLINK(L.BOOKMARK(Arrays!B264),"►")</f>
        <v>►</v>
      </c>
      <c r="E54" s="7" t="s">
        <v>681</v>
      </c>
    </row>
    <row r="55" spans="2:5" ht="15" x14ac:dyDescent="0.2">
      <c r="B55" s="35" t="s">
        <v>77</v>
      </c>
      <c r="C55" s="23" t="str" cm="1">
        <f t="array" ref="C55">IFERROR(L.COMBINR(),"Ctrl+c")</f>
        <v>Ctrl+c</v>
      </c>
      <c r="D55" s="27" t="str" cm="1">
        <f t="array" aca="1" ref="D55" ca="1">HYPERLINK(L.BOOKMARK(Arrays!B340),"►")</f>
        <v>►</v>
      </c>
      <c r="E55" s="7" t="s">
        <v>682</v>
      </c>
    </row>
    <row r="56" spans="2:5" ht="15" x14ac:dyDescent="0.2">
      <c r="B56" s="35" t="s">
        <v>77</v>
      </c>
      <c r="C56" s="23" t="str" cm="1">
        <f t="array" ref="C56">IFERROR(L.PERMUTATIONS(),"Ctrl+c")</f>
        <v>Ctrl+c</v>
      </c>
      <c r="D56" s="27" t="str" cm="1">
        <f t="array" aca="1" ref="D56" ca="1">HYPERLINK(L.BOOKMARK(Arrays!B313),"►")</f>
        <v>►</v>
      </c>
      <c r="E56" s="7" t="s">
        <v>871</v>
      </c>
    </row>
    <row r="57" spans="2:5" x14ac:dyDescent="0.2">
      <c r="D57" s="44"/>
    </row>
    <row r="58" spans="2:5" x14ac:dyDescent="0.2">
      <c r="B58" s="21" t="s">
        <v>623</v>
      </c>
      <c r="D58" s="44"/>
    </row>
    <row r="59" spans="2:5" ht="15" x14ac:dyDescent="0.2">
      <c r="B59" s="35" t="s">
        <v>77</v>
      </c>
      <c r="C59" s="23" t="str" cm="1">
        <f t="array" ref="C59">IFERROR(L.ONES(),"Ctrl+c")</f>
        <v>Ctrl+c</v>
      </c>
      <c r="D59" s="27" t="str" cm="1">
        <f t="array" aca="1" ref="D59" ca="1">HYPERLINK(L.BOOKMARK(Matrices!$B$36),"►")</f>
        <v>►</v>
      </c>
      <c r="E59" s="20" t="s">
        <v>683</v>
      </c>
    </row>
    <row r="60" spans="2:5" ht="15" x14ac:dyDescent="0.2">
      <c r="B60" s="35" t="s">
        <v>77</v>
      </c>
      <c r="C60" s="23" t="str" cm="1">
        <f t="array" ref="C60">IFERROR(L.ZEROS(),"Ctrl+c")</f>
        <v>Ctrl+c</v>
      </c>
      <c r="D60" s="27" t="str" cm="1">
        <f t="array" aca="1" ref="D60" ca="1">HYPERLINK(L.BOOKMARK(Matrices!$B$36),"►")</f>
        <v>►</v>
      </c>
      <c r="E60" s="20" t="s">
        <v>684</v>
      </c>
    </row>
    <row r="61" spans="2:5" ht="15" x14ac:dyDescent="0.2">
      <c r="B61" s="35" t="s">
        <v>77</v>
      </c>
      <c r="C61" s="23" t="str" cm="1">
        <f t="array" ref="C61">IFERROR(L.PASCAL(),"Ctrl+c")</f>
        <v>Ctrl+c</v>
      </c>
      <c r="D61" s="27" t="str" cm="1">
        <f t="array" aca="1" ref="D61" ca="1">HYPERLINK(L.BOOKMARK(Matrices!$B$152),"►")</f>
        <v>►</v>
      </c>
      <c r="E61" s="7" t="s">
        <v>685</v>
      </c>
    </row>
    <row r="62" spans="2:5" ht="15" x14ac:dyDescent="0.2">
      <c r="B62" s="35" t="s">
        <v>77</v>
      </c>
      <c r="C62" s="23" t="str" cm="1">
        <f t="array" ref="C62">IFERROR(L.DIAG(),"Ctrl+c")</f>
        <v>Ctrl+c</v>
      </c>
      <c r="D62" s="27" t="str" cm="1">
        <f t="array" aca="1" ref="D62" ca="1">HYPERLINK(L.BOOKMARK(Matrices!$B$62),"►")</f>
        <v>►</v>
      </c>
      <c r="E62" s="7" t="s">
        <v>686</v>
      </c>
    </row>
    <row r="63" spans="2:5" ht="15" x14ac:dyDescent="0.2">
      <c r="B63" s="35" t="s">
        <v>77</v>
      </c>
      <c r="C63" s="23" t="str" cm="1">
        <f t="array" ref="C63">IFERROR(L.TRACE(),"Ctrl+c")</f>
        <v>Ctrl+c</v>
      </c>
      <c r="D63" s="27" t="str" cm="1">
        <f t="array" aca="1" ref="D63" ca="1">HYPERLINK(L.BOOKMARK(Matrices!B76),"►")</f>
        <v>►</v>
      </c>
      <c r="E63" s="7" t="s">
        <v>687</v>
      </c>
    </row>
    <row r="64" spans="2:5" ht="15" x14ac:dyDescent="0.2">
      <c r="B64" s="35" t="s">
        <v>77</v>
      </c>
      <c r="C64" s="23" t="str" cm="1">
        <f t="array" ref="C64">IFERROR(L.ROWSUM(),"Ctrl+c")</f>
        <v>Ctrl+c</v>
      </c>
      <c r="D64" s="27" t="str" cm="1">
        <f t="array" aca="1" ref="D64" ca="1">HYPERLINK(L.BOOKMARK(Matrices!$B$96),"►")</f>
        <v>►</v>
      </c>
      <c r="E64" s="7" t="s">
        <v>688</v>
      </c>
    </row>
    <row r="65" spans="2:12" ht="15" x14ac:dyDescent="0.2">
      <c r="B65" s="35" t="s">
        <v>77</v>
      </c>
      <c r="C65" s="23" t="str" cm="1">
        <f t="array" ref="C65">IFERROR(L.COLSUM(),"Ctrl+c")</f>
        <v>Ctrl+c</v>
      </c>
      <c r="D65" s="27" t="str" cm="1">
        <f t="array" aca="1" ref="D65" ca="1">HYPERLINK(L.BOOKMARK(Matrices!$B$96),"►")</f>
        <v>►</v>
      </c>
      <c r="E65" s="7" t="s">
        <v>689</v>
      </c>
    </row>
    <row r="66" spans="2:12" ht="15" x14ac:dyDescent="0.2">
      <c r="B66" s="35"/>
      <c r="C66" s="23" t="str" cm="1">
        <f t="array" ref="C66">IFERROR(L.ISSYMMETRIC(),"Ctrl+c")</f>
        <v>Ctrl+c</v>
      </c>
      <c r="D66" s="27" t="str" cm="1">
        <f t="array" aca="1" ref="D66" ca="1">HYPERLINK(L.BOOKMARK(Matrices!B85),"►")</f>
        <v>►</v>
      </c>
      <c r="E66" s="7" t="s">
        <v>690</v>
      </c>
    </row>
    <row r="67" spans="2:12" ht="15" x14ac:dyDescent="0.2">
      <c r="B67" s="35"/>
      <c r="C67" s="23" t="str" cm="1">
        <f t="array" ref="C67">IFERROR(L.ISPOSDEF(),"Ctrl+c")</f>
        <v>Ctrl+c</v>
      </c>
      <c r="D67" s="27" t="str" cm="1">
        <f t="array" aca="1" ref="D67" ca="1">HYPERLINK(L.BOOKMARK(Matrices!$K$274),"►")</f>
        <v>►</v>
      </c>
      <c r="E67" s="7" t="s">
        <v>691</v>
      </c>
    </row>
    <row r="68" spans="2:12" ht="15" x14ac:dyDescent="0.2">
      <c r="B68" s="35" t="s">
        <v>77</v>
      </c>
      <c r="C68" s="23" t="str" cm="1">
        <f t="array" ref="C68">IFERROR(L.DOT(),"Ctrl+c")</f>
        <v>Ctrl+c</v>
      </c>
      <c r="D68" s="27" t="str" cm="1">
        <f t="array" aca="1" ref="D68" ca="1">HYPERLINK(L.BOOKMARK(Matrices!B123),"►")</f>
        <v>►</v>
      </c>
      <c r="E68" s="7" t="s">
        <v>692</v>
      </c>
    </row>
    <row r="69" spans="2:12" ht="15" x14ac:dyDescent="0.2">
      <c r="B69" s="35" t="s">
        <v>77</v>
      </c>
      <c r="C69" s="23" t="str" cm="1">
        <f t="array" ref="C69">IFERROR(L.CROSS(),"Ctrl+c")</f>
        <v>Ctrl+c</v>
      </c>
      <c r="D69" s="27" t="str" cm="1">
        <f t="array" aca="1" ref="D69" ca="1">HYPERLINK(L.BOOKMARK(Matrices!B142),"►")</f>
        <v>►</v>
      </c>
      <c r="E69" s="7" t="s">
        <v>693</v>
      </c>
    </row>
    <row r="70" spans="2:12" ht="15" x14ac:dyDescent="0.2">
      <c r="B70" s="35" t="s">
        <v>77</v>
      </c>
      <c r="C70" s="23" t="str" cm="1">
        <f t="array" ref="C70">IFERROR(L.MAGNITUDE(),"Ctrl+c")</f>
        <v>Ctrl+c</v>
      </c>
      <c r="D70" s="27" t="str" cm="1">
        <f t="array" aca="1" ref="D70" ca="1">HYPERLINK(L.BOOKMARK(Matrices!B108),"►")</f>
        <v>►</v>
      </c>
      <c r="E70" s="7" t="s">
        <v>694</v>
      </c>
    </row>
    <row r="71" spans="2:12" ht="15" x14ac:dyDescent="0.2">
      <c r="B71" s="35" t="s">
        <v>77</v>
      </c>
      <c r="C71" s="23" t="str" cm="1">
        <f t="array" ref="C71">IFERROR(L.HESS(),"Ctrl+c")</f>
        <v>Ctrl+c</v>
      </c>
      <c r="D71" s="27" t="str" cm="1">
        <f t="array" aca="1" ref="D71" ca="1">HYPERLINK(L.BOOKMARK(Matrices!$B$166),"►")</f>
        <v>►</v>
      </c>
      <c r="E71" s="7" t="s">
        <v>695</v>
      </c>
    </row>
    <row r="72" spans="2:12" ht="15" x14ac:dyDescent="0.2">
      <c r="B72" s="35" t="s">
        <v>77</v>
      </c>
      <c r="C72" s="23" t="str" cm="1">
        <f t="array" ref="C72">IFERROR(L.QR(),"Ctrl+c")</f>
        <v>Ctrl+c</v>
      </c>
      <c r="D72" s="27" t="str" cm="1">
        <f t="array" aca="1" ref="D72" ca="1">HYPERLINK(L.BOOKMARK(Matrices!$B$196),"►")</f>
        <v>►</v>
      </c>
      <c r="E72" s="7" t="s">
        <v>696</v>
      </c>
    </row>
    <row r="73" spans="2:12" ht="15" x14ac:dyDescent="0.2">
      <c r="B73" s="35" t="s">
        <v>77</v>
      </c>
      <c r="C73" s="23" t="str" cm="1">
        <f t="array" ref="C73">IFERROR(L.CHOLESKY(),"Ctrl+c")</f>
        <v>Ctrl+c</v>
      </c>
      <c r="D73" s="27" t="str" cm="1">
        <f t="array" aca="1" ref="D73" ca="1">HYPERLINK(L.BOOKMARK(Matrices!$B$269),"►")</f>
        <v>►</v>
      </c>
      <c r="E73" s="7" t="s">
        <v>697</v>
      </c>
    </row>
    <row r="74" spans="2:12" ht="15" x14ac:dyDescent="0.2">
      <c r="B74" s="35" t="s">
        <v>77</v>
      </c>
      <c r="C74" s="23" t="str" cm="1">
        <f t="array" ref="C74">IFERROR(L.EIGENVALUE(),"Ctrl+c")</f>
        <v>Ctrl+c</v>
      </c>
      <c r="D74" s="27" t="str" cm="1">
        <f t="array" aca="1" ref="D74" ca="1">HYPERLINK(L.BOOKMARK(Matrices!$B$236),"►")</f>
        <v>►</v>
      </c>
      <c r="E74" s="7" t="s">
        <v>698</v>
      </c>
    </row>
    <row r="75" spans="2:12" x14ac:dyDescent="0.2">
      <c r="B75" s="35"/>
      <c r="C75" s="23"/>
      <c r="D75" s="44"/>
      <c r="E75" s="7"/>
    </row>
    <row r="76" spans="2:12" x14ac:dyDescent="0.2">
      <c r="B76" s="21" t="s">
        <v>622</v>
      </c>
      <c r="C76" s="23"/>
      <c r="D76" s="44"/>
      <c r="E76" s="7"/>
    </row>
    <row r="77" spans="2:12" ht="15" x14ac:dyDescent="0.2">
      <c r="B77" s="35" t="s">
        <v>77</v>
      </c>
      <c r="C77" s="23" t="str" cm="1">
        <f t="array" ref="C77">IFERROR(L.LINTERP(),"Ctrl+c")</f>
        <v>Ctrl+c</v>
      </c>
      <c r="D77" s="27" t="str" cm="1">
        <f t="array" aca="1" ref="D77" ca="1">HYPERLINK(L.BOOKMARK(Polynomials!B47),"►")</f>
        <v>►</v>
      </c>
      <c r="E77" s="7" t="s">
        <v>699</v>
      </c>
      <c r="F77" s="7"/>
      <c r="G77" s="7"/>
      <c r="H77" s="7"/>
      <c r="I77" s="7"/>
      <c r="J77" s="7"/>
      <c r="K77" s="7"/>
      <c r="L77" s="7"/>
    </row>
    <row r="78" spans="2:12" ht="15" x14ac:dyDescent="0.2">
      <c r="B78" s="35" t="s">
        <v>77</v>
      </c>
      <c r="C78" s="23" t="str" cm="1">
        <f t="array" ref="C78">IFERROR(L.PINTERP(),"Ctrl+c")</f>
        <v>Ctrl+c</v>
      </c>
      <c r="D78" s="27" t="str" cm="1">
        <f t="array" aca="1" ref="D78" ca="1">HYPERLINK(L.BOOKMARK(Polynomials!B81),"►")</f>
        <v>►</v>
      </c>
      <c r="E78" s="7" t="s">
        <v>700</v>
      </c>
      <c r="F78" s="7"/>
      <c r="G78" s="7"/>
      <c r="H78" s="7"/>
      <c r="I78" s="7"/>
      <c r="J78" s="7"/>
      <c r="K78" s="7"/>
      <c r="L78" s="7"/>
    </row>
    <row r="79" spans="2:12" ht="15" x14ac:dyDescent="0.2">
      <c r="B79" s="35" t="s">
        <v>77</v>
      </c>
      <c r="C79" s="23" t="str" cm="1">
        <f t="array" ref="C79">IFERROR(L.CSPLINE(),"Ctrl+c")</f>
        <v>Ctrl+c</v>
      </c>
      <c r="D79" s="27" t="str" cm="1">
        <f t="array" aca="1" ref="D79" ca="1">HYPERLINK(L.BOOKMARK(Polynomials!B264),"►")</f>
        <v>►</v>
      </c>
      <c r="E79" s="7" t="s">
        <v>701</v>
      </c>
      <c r="F79" s="7"/>
      <c r="G79" s="7"/>
      <c r="H79" s="7"/>
      <c r="I79" s="7"/>
      <c r="J79" s="7"/>
      <c r="K79" s="7"/>
      <c r="L79" s="7"/>
    </row>
    <row r="80" spans="2:12" ht="15" x14ac:dyDescent="0.2">
      <c r="B80" s="35" t="s">
        <v>77</v>
      </c>
      <c r="C80" s="23" t="str" cm="1">
        <f t="array" ref="C80">IFERROR(L.NSPLINE(),"Ctrl+c")</f>
        <v>Ctrl+c</v>
      </c>
      <c r="D80" s="27" t="str" cm="1">
        <f t="array" aca="1" ref="D80" ca="1">HYPERLINK(L.BOOKMARK(Polynomials!B310),"►")</f>
        <v>►</v>
      </c>
      <c r="E80" s="7" t="s">
        <v>702</v>
      </c>
      <c r="F80" s="7"/>
      <c r="G80" s="7"/>
      <c r="H80" s="7"/>
      <c r="I80" s="7"/>
      <c r="J80" s="7"/>
      <c r="K80" s="7"/>
      <c r="L80" s="7"/>
    </row>
    <row r="81" spans="2:12" ht="15" x14ac:dyDescent="0.2">
      <c r="B81" s="35" t="s">
        <v>77</v>
      </c>
      <c r="C81" s="23" t="str" cm="1">
        <f t="array" ref="C81">IFERROR(L.SPLINE(),"Ctrl+c")</f>
        <v>Ctrl+c</v>
      </c>
      <c r="D81" s="27" t="str" cm="1">
        <f t="array" aca="1" ref="D81" ca="1">HYPERLINK(L.BOOKMARK(Polynomials!B348),"►")</f>
        <v>►</v>
      </c>
      <c r="E81" s="7" t="s">
        <v>703</v>
      </c>
      <c r="F81" s="7"/>
      <c r="G81" s="7"/>
      <c r="H81" s="7"/>
      <c r="I81" s="7"/>
      <c r="J81" s="7"/>
      <c r="K81" s="7"/>
      <c r="L81" s="7"/>
    </row>
    <row r="82" spans="2:12" x14ac:dyDescent="0.2">
      <c r="B82" s="35"/>
      <c r="C82" s="23"/>
      <c r="D82" s="44"/>
      <c r="E82" s="7"/>
    </row>
    <row r="83" spans="2:12" x14ac:dyDescent="0.2">
      <c r="B83" s="21" t="s">
        <v>621</v>
      </c>
      <c r="D83" s="44"/>
      <c r="E83" s="7"/>
      <c r="F83" s="7"/>
      <c r="G83" s="7"/>
      <c r="H83" s="7"/>
      <c r="I83" s="7"/>
      <c r="J83" s="7"/>
      <c r="K83" s="7"/>
      <c r="L83" s="7"/>
    </row>
    <row r="84" spans="2:12" ht="15" x14ac:dyDescent="0.2">
      <c r="B84" s="35" t="s">
        <v>77</v>
      </c>
      <c r="C84" s="23" t="str" cm="1">
        <f t="array" ref="C84">IFERROR(L.POLYFIT(),"Ctrl+c")</f>
        <v>Ctrl+c</v>
      </c>
      <c r="D84" s="27" t="str" cm="1">
        <f t="array" aca="1" ref="D84" ca="1">HYPERLINK(L.BOOKMARK(Polynomials!B14),"►")</f>
        <v>►</v>
      </c>
      <c r="E84" s="7" t="s">
        <v>704</v>
      </c>
      <c r="F84" s="7"/>
      <c r="G84" s="7"/>
      <c r="H84" s="7"/>
      <c r="I84" s="7"/>
      <c r="J84" s="7"/>
      <c r="K84" s="7"/>
      <c r="L84" s="7"/>
    </row>
    <row r="85" spans="2:12" ht="15" x14ac:dyDescent="0.2">
      <c r="B85" s="35" t="s">
        <v>77</v>
      </c>
      <c r="C85" s="23" t="str" cm="1">
        <f t="array" ref="C85">IFERROR(L.POLYVAL(),"Ctrl+c")</f>
        <v>Ctrl+c</v>
      </c>
      <c r="D85" s="27" t="str" cm="1">
        <f t="array" aca="1" ref="D85" ca="1">HYPERLINK(L.BOOKMARK(Polynomials!B10),"►")</f>
        <v>►</v>
      </c>
      <c r="E85" s="7" t="s">
        <v>705</v>
      </c>
      <c r="F85" s="7"/>
      <c r="G85" s="7"/>
      <c r="H85" s="7"/>
      <c r="I85" s="7"/>
      <c r="J85" s="7"/>
      <c r="K85" s="7"/>
      <c r="L85" s="7"/>
    </row>
    <row r="86" spans="2:12" ht="15" x14ac:dyDescent="0.2">
      <c r="B86" s="35" t="s">
        <v>77</v>
      </c>
      <c r="C86" s="23" t="str" cm="1">
        <f t="array" ref="C86">IFERROR(L.POLYDER(),"Ctrl+c")</f>
        <v>Ctrl+c</v>
      </c>
      <c r="D86" s="27" t="str" cm="1">
        <f t="array" aca="1" ref="D86" ca="1">HYPERLINK(L.BOOKMARK(Polynomials!B120),"►")</f>
        <v>►</v>
      </c>
      <c r="E86" s="7" t="s">
        <v>706</v>
      </c>
      <c r="F86" s="7"/>
      <c r="G86" s="7"/>
      <c r="H86" s="7"/>
      <c r="I86" s="7"/>
      <c r="J86" s="7"/>
      <c r="K86" s="7"/>
      <c r="L86" s="7"/>
    </row>
    <row r="87" spans="2:12" ht="15" x14ac:dyDescent="0.2">
      <c r="B87" s="35" t="s">
        <v>77</v>
      </c>
      <c r="C87" s="23" t="str" cm="1">
        <f t="array" ref="C87">IFERROR(L.POLYINT(),"Ctrl+c")</f>
        <v>Ctrl+c</v>
      </c>
      <c r="D87" s="27" t="str" cm="1">
        <f t="array" aca="1" ref="D87" ca="1">HYPERLINK(L.BOOKMARK(Polynomials!B142),"►")</f>
        <v>►</v>
      </c>
      <c r="E87" s="7" t="s">
        <v>707</v>
      </c>
      <c r="F87" s="7"/>
      <c r="G87" s="7"/>
      <c r="H87" s="7"/>
      <c r="I87" s="7"/>
      <c r="J87" s="7"/>
      <c r="K87" s="7"/>
      <c r="L87" s="7"/>
    </row>
    <row r="88" spans="2:12" ht="15" x14ac:dyDescent="0.2">
      <c r="B88" s="35" t="s">
        <v>77</v>
      </c>
      <c r="C88" s="23" t="str" cm="1">
        <f t="array" ref="C88">IFERROR(L.POLYADD(),"Ctrl+c")</f>
        <v>Ctrl+c</v>
      </c>
      <c r="D88" s="27" t="str" cm="1">
        <f t="array" aca="1" ref="D88" ca="1">HYPERLINK(L.BOOKMARK(Polynomials!B167),"►")</f>
        <v>►</v>
      </c>
      <c r="E88" s="7" t="s">
        <v>708</v>
      </c>
      <c r="F88" s="7"/>
      <c r="G88" s="7"/>
      <c r="H88" s="7"/>
      <c r="I88" s="7"/>
      <c r="J88" s="7"/>
      <c r="K88" s="7"/>
      <c r="L88" s="7"/>
    </row>
    <row r="89" spans="2:12" ht="15" x14ac:dyDescent="0.2">
      <c r="B89" s="35" t="s">
        <v>77</v>
      </c>
      <c r="C89" s="23" t="str" cm="1">
        <f t="array" ref="C89">IFERROR(L.POLYSUB(),"Ctrl+c")</f>
        <v>Ctrl+c</v>
      </c>
      <c r="D89" s="27" t="str" cm="1">
        <f t="array" aca="1" ref="D89" ca="1">HYPERLINK(L.BOOKMARK(Polynomials!B178),"►")</f>
        <v>►</v>
      </c>
      <c r="E89" s="7" t="s">
        <v>709</v>
      </c>
      <c r="F89" s="7"/>
      <c r="G89" s="7"/>
      <c r="H89" s="7"/>
      <c r="I89" s="7"/>
      <c r="J89" s="7"/>
      <c r="K89" s="7"/>
      <c r="L89" s="7"/>
    </row>
    <row r="90" spans="2:12" ht="15" x14ac:dyDescent="0.2">
      <c r="B90" s="35" t="s">
        <v>77</v>
      </c>
      <c r="C90" s="23" t="str" cm="1">
        <f t="array" ref="C90">IFERROR(L.POLYMULT(),"Ctrl+c")</f>
        <v>Ctrl+c</v>
      </c>
      <c r="D90" s="27" t="str" cm="1">
        <f t="array" aca="1" ref="D90" ca="1">HYPERLINK(L.BOOKMARK(Polynomials!B189),"►")</f>
        <v>►</v>
      </c>
      <c r="E90" s="7" t="s">
        <v>710</v>
      </c>
      <c r="F90" s="7"/>
      <c r="G90" s="7"/>
      <c r="H90" s="7"/>
      <c r="I90" s="7"/>
      <c r="J90" s="7"/>
      <c r="K90" s="7"/>
      <c r="L90" s="7"/>
    </row>
    <row r="91" spans="2:12" ht="15" x14ac:dyDescent="0.2">
      <c r="B91" s="35" t="s">
        <v>77</v>
      </c>
      <c r="C91" s="23" t="str" cm="1">
        <f t="array" ref="C91">IFERROR(L.POLYDIV(),"Ctrl+c")</f>
        <v>Ctrl+c</v>
      </c>
      <c r="D91" s="27" t="str" cm="1">
        <f t="array" aca="1" ref="D91" ca="1">HYPERLINK(L.BOOKMARK(Polynomials!B206),"►")</f>
        <v>►</v>
      </c>
      <c r="E91" s="7" t="s">
        <v>711</v>
      </c>
      <c r="F91" s="7"/>
      <c r="G91" s="7"/>
      <c r="H91" s="7"/>
      <c r="I91" s="7"/>
      <c r="J91" s="7"/>
      <c r="K91" s="7"/>
      <c r="L91" s="7"/>
    </row>
    <row r="92" spans="2:12" ht="15" x14ac:dyDescent="0.2">
      <c r="B92" s="35" t="s">
        <v>77</v>
      </c>
      <c r="C92" s="23" t="str" cm="1">
        <f t="array" ref="C92">IFERROR(L.POLYCOMPAN(),"Ctrl+c")</f>
        <v>Ctrl+c</v>
      </c>
      <c r="D92" s="27" t="str" cm="1">
        <f t="array" aca="1" ref="D92" ca="1">HYPERLINK(L.BOOKMARK(Polynomials!B219),"►")</f>
        <v>►</v>
      </c>
      <c r="E92" s="7" t="s">
        <v>712</v>
      </c>
      <c r="F92" s="7"/>
      <c r="G92" s="7"/>
      <c r="H92" s="7"/>
      <c r="I92" s="7"/>
      <c r="J92" s="7"/>
      <c r="K92" s="7"/>
      <c r="L92" s="7"/>
    </row>
    <row r="93" spans="2:12" ht="15" x14ac:dyDescent="0.2">
      <c r="B93" s="35" t="s">
        <v>77</v>
      </c>
      <c r="C93" s="23" t="str" cm="1">
        <f t="array" aca="1" ref="C93" ca="1">IFERROR(L.IM_POLYROOTS(),"Ctrl+c")</f>
        <v>Ctrl+c</v>
      </c>
      <c r="D93" s="27" t="str" cm="1">
        <f t="array" aca="1" ref="D93" ca="1">HYPERLINK(L.BOOKMARK(Polynomials!B472),"►")</f>
        <v>►</v>
      </c>
      <c r="E93" s="7" t="s">
        <v>713</v>
      </c>
      <c r="F93" s="7"/>
      <c r="G93" s="7"/>
      <c r="H93" s="7"/>
      <c r="I93" s="7"/>
      <c r="J93" s="7"/>
      <c r="K93" s="7"/>
      <c r="L93" s="7"/>
    </row>
    <row r="94" spans="2:12" ht="15" x14ac:dyDescent="0.2">
      <c r="B94" s="35" t="s">
        <v>77</v>
      </c>
      <c r="C94" s="23" t="str" cm="1">
        <f t="array" aca="1" ref="C94" ca="1">IFERROR(L.IM_POLYFROMROOTS(),"Ctrl+c")</f>
        <v>Ctrl+c</v>
      </c>
      <c r="D94" s="27" t="str" cm="1">
        <f t="array" aca="1" ref="D94" ca="1">HYPERLINK(L.BOOKMARK(Polynomials!B492),"►")</f>
        <v>►</v>
      </c>
      <c r="E94" s="7" t="s">
        <v>714</v>
      </c>
      <c r="F94" s="7"/>
      <c r="G94" s="7"/>
      <c r="H94" s="7"/>
      <c r="I94" s="7"/>
      <c r="J94" s="7"/>
      <c r="K94" s="7"/>
      <c r="L94" s="7"/>
    </row>
    <row r="95" spans="2:12" ht="15" x14ac:dyDescent="0.2">
      <c r="B95" s="35" t="s">
        <v>77</v>
      </c>
      <c r="C95" s="23" t="str" cm="1">
        <f t="array" ref="C95">IFERROR(L.PPVAL(),"Ctrl+c")</f>
        <v>Ctrl+c</v>
      </c>
      <c r="D95" s="27" t="str" cm="1">
        <f t="array" aca="1" ref="D95" ca="1">HYPERLINK(L.BOOKMARK(Polynomials!B230),"►")</f>
        <v>►</v>
      </c>
      <c r="E95" s="7" t="s">
        <v>715</v>
      </c>
      <c r="F95" s="7"/>
      <c r="G95" s="7"/>
      <c r="H95" s="7"/>
      <c r="I95" s="7"/>
      <c r="J95" s="7"/>
      <c r="K95" s="7"/>
      <c r="L95" s="7"/>
    </row>
    <row r="96" spans="2:12" ht="15" x14ac:dyDescent="0.2">
      <c r="B96" s="35" t="s">
        <v>77</v>
      </c>
      <c r="C96" s="23" t="str" cm="1">
        <f t="array" ref="C96">IFERROR(L.PPINT(),"Ctrl+c")</f>
        <v>Ctrl+c</v>
      </c>
      <c r="D96" s="27" t="str" cm="1">
        <f t="array" aca="1" ref="D96" ca="1">HYPERLINK(L.BOOKMARK(Polynomials!B419),"►")</f>
        <v>►</v>
      </c>
      <c r="E96" s="7" t="s">
        <v>716</v>
      </c>
      <c r="F96" s="7"/>
      <c r="G96" s="7"/>
      <c r="H96" s="7"/>
      <c r="I96" s="7"/>
      <c r="J96" s="7"/>
      <c r="K96" s="7"/>
      <c r="L96" s="7"/>
    </row>
    <row r="97" spans="2:12" ht="15" x14ac:dyDescent="0.2">
      <c r="B97" s="35" t="s">
        <v>77</v>
      </c>
      <c r="C97" s="23" t="str" cm="1">
        <f t="array" ref="C97">IFERROR(L.PPDER(),"Ctrl+c")</f>
        <v>Ctrl+c</v>
      </c>
      <c r="D97" s="27" t="str" cm="1">
        <f t="array" aca="1" ref="D97" ca="1">HYPERLINK(L.BOOKMARK(Polynomials!B388),"►")</f>
        <v>►</v>
      </c>
      <c r="E97" s="7" t="s">
        <v>717</v>
      </c>
      <c r="F97" s="7"/>
      <c r="G97" s="7"/>
      <c r="H97" s="7"/>
      <c r="I97" s="7"/>
      <c r="J97" s="7"/>
      <c r="K97" s="7"/>
      <c r="L97" s="7"/>
    </row>
    <row r="98" spans="2:12" x14ac:dyDescent="0.2">
      <c r="C98" s="7"/>
      <c r="D98" s="45"/>
      <c r="E98" s="7"/>
      <c r="F98" s="7"/>
      <c r="G98" s="7"/>
      <c r="H98" s="7"/>
      <c r="I98" s="7"/>
      <c r="J98" s="7"/>
      <c r="K98" s="7"/>
      <c r="L98" s="7"/>
    </row>
    <row r="99" spans="2:12" x14ac:dyDescent="0.2">
      <c r="B99" s="21" t="s">
        <v>620</v>
      </c>
      <c r="C99" s="7"/>
      <c r="D99" s="44"/>
      <c r="E99" s="7"/>
      <c r="F99" s="7"/>
      <c r="G99" s="7"/>
      <c r="H99" s="7"/>
      <c r="I99" s="7"/>
      <c r="J99" s="7"/>
      <c r="K99" s="7"/>
      <c r="L99" s="7"/>
    </row>
    <row r="100" spans="2:12" ht="15" x14ac:dyDescent="0.2">
      <c r="B100" s="35" t="s">
        <v>77</v>
      </c>
      <c r="C100" s="23" t="str" cm="1">
        <f t="array" ref="C100">IFERROR(L.DIFF(),"Ctrl+c")</f>
        <v>Ctrl+c</v>
      </c>
      <c r="D100" s="27" t="str" cm="1">
        <f t="array" aca="1" ref="D100" ca="1">HYPERLINK(L.BOOKMARK(Calc!B10),"►")</f>
        <v>►</v>
      </c>
      <c r="E100" s="7" t="s">
        <v>718</v>
      </c>
      <c r="F100" s="7"/>
      <c r="G100" s="7"/>
      <c r="H100" s="7"/>
      <c r="I100" s="7"/>
      <c r="J100" s="7"/>
      <c r="K100" s="7"/>
      <c r="L100" s="7"/>
    </row>
    <row r="101" spans="2:12" ht="15" x14ac:dyDescent="0.2">
      <c r="B101" s="35" t="s">
        <v>77</v>
      </c>
      <c r="C101" s="23" t="str" cm="1">
        <f t="array" ref="C101">IFERROR(L.FDIFF(),"Ctrl+c")</f>
        <v>Ctrl+c</v>
      </c>
      <c r="D101" s="27" t="str" cm="1">
        <f t="array" aca="1" ref="D101" ca="1">HYPERLINK(L.BOOKMARK(Calc!B26),"►")</f>
        <v>►</v>
      </c>
      <c r="E101" s="7" t="s">
        <v>719</v>
      </c>
      <c r="F101" s="7"/>
      <c r="G101" s="7"/>
      <c r="H101" s="7"/>
      <c r="I101" s="7"/>
      <c r="J101" s="7"/>
      <c r="K101" s="7"/>
      <c r="L101" s="7"/>
    </row>
    <row r="102" spans="2:12" ht="15" x14ac:dyDescent="0.2">
      <c r="B102" s="35" t="s">
        <v>77</v>
      </c>
      <c r="C102" s="23" t="str" cm="1">
        <f t="array" ref="C102">IFERROR(L.PDIFF(),"Ctrl+c")</f>
        <v>Ctrl+c</v>
      </c>
      <c r="D102" s="27" t="str" cm="1">
        <f t="array" aca="1" ref="D102" ca="1">HYPERLINK(L.BOOKMARK(Calc!B66),"►")</f>
        <v>►</v>
      </c>
      <c r="E102" s="7" t="s">
        <v>720</v>
      </c>
      <c r="F102" s="7"/>
      <c r="G102" s="7"/>
      <c r="H102" s="7"/>
      <c r="I102" s="7"/>
      <c r="J102" s="7"/>
      <c r="K102" s="7"/>
      <c r="L102" s="7"/>
    </row>
    <row r="103" spans="2:12" ht="15" x14ac:dyDescent="0.2">
      <c r="B103" s="35" t="s">
        <v>77</v>
      </c>
      <c r="C103" s="23" t="str" cm="1">
        <f t="array" ref="C103">IFERROR(L.TRAPZ(),"Ctrl+c")</f>
        <v>Ctrl+c</v>
      </c>
      <c r="D103" s="27" t="str" cm="1">
        <f t="array" aca="1" ref="D103" ca="1">HYPERLINK(L.BOOKMARK(Calc!B144),"►")</f>
        <v>►</v>
      </c>
      <c r="E103" s="7" t="s">
        <v>721</v>
      </c>
      <c r="F103" s="7"/>
      <c r="G103" s="7"/>
      <c r="H103" s="7"/>
      <c r="I103" s="7"/>
      <c r="J103" s="7"/>
      <c r="K103" s="7"/>
      <c r="L103" s="7"/>
    </row>
    <row r="104" spans="2:12" ht="15" x14ac:dyDescent="0.2">
      <c r="B104" s="35" t="s">
        <v>77</v>
      </c>
      <c r="C104" s="23" t="str" cm="1">
        <f t="array" ref="C104">IFERROR(L.SIMPSON(),"Ctrl+c")</f>
        <v>Ctrl+c</v>
      </c>
      <c r="D104" s="27" t="str" cm="1">
        <f t="array" aca="1" ref="D104" ca="1">HYPERLINK(L.BOOKMARK(Calc!B178),"►")</f>
        <v>►</v>
      </c>
      <c r="E104" s="7" t="s">
        <v>722</v>
      </c>
      <c r="F104" s="7"/>
      <c r="G104" s="7"/>
      <c r="H104" s="7"/>
      <c r="I104" s="7"/>
      <c r="J104" s="7"/>
      <c r="K104" s="7"/>
      <c r="L104" s="7"/>
    </row>
    <row r="105" spans="2:12" x14ac:dyDescent="0.2">
      <c r="C105" s="7"/>
      <c r="D105" s="45"/>
      <c r="E105" s="7"/>
      <c r="F105" s="7"/>
      <c r="G105" s="7"/>
      <c r="H105" s="7"/>
      <c r="I105" s="7"/>
      <c r="J105" s="7"/>
      <c r="K105" s="7"/>
      <c r="L105" s="7"/>
    </row>
    <row r="106" spans="2:12" x14ac:dyDescent="0.2">
      <c r="B106" s="21" t="s">
        <v>618</v>
      </c>
      <c r="C106" s="7"/>
      <c r="D106" s="44"/>
      <c r="E106" s="7"/>
      <c r="F106" s="7"/>
      <c r="G106" s="7"/>
      <c r="H106" s="7"/>
      <c r="I106" s="7"/>
      <c r="J106" s="7"/>
      <c r="K106" s="7"/>
      <c r="L106" s="7"/>
    </row>
    <row r="107" spans="2:12" ht="15" x14ac:dyDescent="0.2">
      <c r="B107" s="35" t="s">
        <v>77</v>
      </c>
      <c r="C107" s="23" t="str" cm="1">
        <f t="array" ref="C107">IFERROR(L.IM_ISCOMPLEX(),"Ctrl+c")</f>
        <v>Ctrl+c</v>
      </c>
      <c r="D107" s="27"/>
      <c r="E107" s="7" t="s">
        <v>388</v>
      </c>
      <c r="F107" s="7"/>
      <c r="G107" s="7"/>
      <c r="H107" s="7"/>
      <c r="I107" s="7"/>
      <c r="J107" s="7"/>
      <c r="K107" s="7"/>
      <c r="L107" s="7"/>
    </row>
    <row r="108" spans="2:12" ht="15" x14ac:dyDescent="0.2">
      <c r="B108" s="35" t="s">
        <v>77</v>
      </c>
      <c r="C108" s="23" t="str" cm="1">
        <f t="array" ref="C108">IFERROR(L.IM_ISHERMITIAN(),"Ctrl+c")</f>
        <v>Ctrl+c</v>
      </c>
      <c r="D108" s="45"/>
      <c r="E108" s="7" t="s">
        <v>454</v>
      </c>
      <c r="F108" s="7"/>
      <c r="G108" s="7"/>
      <c r="H108" s="7"/>
      <c r="I108" s="7"/>
      <c r="J108" s="7"/>
      <c r="K108" s="7"/>
      <c r="L108" s="7"/>
    </row>
    <row r="109" spans="2:12" ht="15" x14ac:dyDescent="0.2">
      <c r="B109" s="35" t="s">
        <v>77</v>
      </c>
      <c r="C109" s="23" t="str" cm="1">
        <f t="array" ref="C109">IFERROR(L.IM_CTRANSPOSE(),"Ctrl+c")</f>
        <v>Ctrl+c</v>
      </c>
      <c r="D109" s="45"/>
      <c r="E109" s="7" t="s">
        <v>389</v>
      </c>
      <c r="F109" s="7"/>
      <c r="G109" s="7"/>
      <c r="H109" s="7"/>
      <c r="I109" s="7"/>
      <c r="J109" s="7"/>
      <c r="K109" s="7"/>
      <c r="L109" s="7"/>
    </row>
    <row r="110" spans="2:12" ht="15" x14ac:dyDescent="0.2">
      <c r="B110" s="35" t="s">
        <v>77</v>
      </c>
      <c r="C110" s="23" t="str" cm="1">
        <f t="array" ref="C110">IFERROR(L.IM_DOT(),"Ctrl+c")</f>
        <v>Ctrl+c</v>
      </c>
      <c r="D110" s="45"/>
      <c r="E110" s="20" t="s">
        <v>390</v>
      </c>
      <c r="F110" s="7"/>
      <c r="G110" s="7"/>
      <c r="H110" s="7"/>
      <c r="I110" s="7"/>
      <c r="J110" s="7"/>
      <c r="K110" s="7"/>
      <c r="L110" s="7"/>
    </row>
    <row r="111" spans="2:12" ht="15" x14ac:dyDescent="0.2">
      <c r="B111" s="35" t="s">
        <v>77</v>
      </c>
      <c r="C111" s="23" t="str" cm="1">
        <f t="array" ref="C111">IFERROR(L.IM_SUMPRODUCT(),"Ctrl+c")</f>
        <v>Ctrl+c</v>
      </c>
      <c r="D111" s="45"/>
      <c r="E111" s="7" t="s">
        <v>391</v>
      </c>
      <c r="F111" s="7"/>
      <c r="G111" s="7"/>
      <c r="H111" s="7"/>
      <c r="I111" s="7"/>
      <c r="J111" s="7"/>
      <c r="K111" s="7"/>
      <c r="L111" s="7"/>
    </row>
    <row r="112" spans="2:12" ht="15" x14ac:dyDescent="0.2">
      <c r="B112" s="35" t="s">
        <v>77</v>
      </c>
      <c r="C112" s="23" t="str" cm="1">
        <f t="array" ref="C112">IFERROR(L.IM_MMULT(),"Ctrl+c")</f>
        <v>Ctrl+c</v>
      </c>
      <c r="D112" s="45"/>
      <c r="E112" s="7" t="s">
        <v>392</v>
      </c>
      <c r="F112" s="7"/>
      <c r="G112" s="7"/>
      <c r="H112" s="7"/>
      <c r="I112" s="7"/>
      <c r="J112" s="7"/>
      <c r="K112" s="7"/>
      <c r="L112" s="7"/>
    </row>
    <row r="113" spans="2:12" ht="15" x14ac:dyDescent="0.2">
      <c r="B113" s="35" t="s">
        <v>77</v>
      </c>
      <c r="C113" s="23" t="str" cm="1">
        <f t="array" ref="C113">IFERROR(L.IM_ROUNDTOZERO(),"Ctrl+c")</f>
        <v>Ctrl+c</v>
      </c>
      <c r="D113" s="45"/>
      <c r="E113" s="7" t="s">
        <v>395</v>
      </c>
      <c r="F113" s="7"/>
      <c r="G113" s="7"/>
      <c r="H113" s="7"/>
      <c r="I113" s="7"/>
      <c r="J113" s="7"/>
      <c r="K113" s="7"/>
      <c r="L113" s="7"/>
    </row>
    <row r="114" spans="2:12" ht="15" x14ac:dyDescent="0.2">
      <c r="B114" s="35" t="s">
        <v>77</v>
      </c>
      <c r="C114" s="23" t="str" cm="1">
        <f t="array" ref="C114">IFERROR(L.IM_ROUND(),"Ctrl+c")</f>
        <v>Ctrl+c</v>
      </c>
      <c r="D114" s="45"/>
      <c r="E114" s="7" t="s">
        <v>396</v>
      </c>
      <c r="F114" s="7"/>
      <c r="G114" s="7"/>
      <c r="H114" s="7"/>
      <c r="I114" s="7"/>
      <c r="J114" s="7"/>
      <c r="K114" s="7"/>
      <c r="L114" s="7"/>
    </row>
    <row r="115" spans="2:12" ht="15" x14ac:dyDescent="0.2">
      <c r="B115" s="35" t="s">
        <v>77</v>
      </c>
      <c r="C115" s="23" t="str" cm="1">
        <f t="array" ref="C115">IFERROR(L.IM_TOARRAY(),"Ctrl+c")</f>
        <v>Ctrl+c</v>
      </c>
      <c r="D115" s="45"/>
      <c r="E115" s="7" t="s">
        <v>397</v>
      </c>
      <c r="F115" s="7"/>
      <c r="G115" s="7"/>
      <c r="H115" s="7"/>
      <c r="I115" s="7"/>
      <c r="J115" s="7"/>
      <c r="K115" s="7"/>
      <c r="L115" s="7"/>
    </row>
    <row r="116" spans="2:12" x14ac:dyDescent="0.2">
      <c r="C116" s="7"/>
      <c r="D116" s="45"/>
      <c r="E116" s="7"/>
      <c r="F116" s="7"/>
      <c r="G116" s="7"/>
      <c r="H116" s="7"/>
      <c r="I116" s="7"/>
      <c r="J116" s="7"/>
      <c r="K116" s="7"/>
      <c r="L116" s="7"/>
    </row>
    <row r="117" spans="2:12" x14ac:dyDescent="0.2">
      <c r="B117" s="21" t="s">
        <v>619</v>
      </c>
      <c r="D117" s="44"/>
    </row>
    <row r="118" spans="2:12" ht="15" x14ac:dyDescent="0.2">
      <c r="B118" s="35" t="s">
        <v>77</v>
      </c>
      <c r="C118" s="23" t="str" cm="1">
        <f t="array" ref="C118">IFERROR(L.COUNTCHAR(),"Ctrl+c")</f>
        <v>Ctrl+c</v>
      </c>
      <c r="D118" s="27" t="str" cm="1">
        <f t="array" aca="1" ref="D118" ca="1">HYPERLINK(L.BOOKMARK(General!B92),"►")</f>
        <v>►</v>
      </c>
      <c r="E118" s="7" t="s">
        <v>723</v>
      </c>
    </row>
    <row r="119" spans="2:12" ht="15" x14ac:dyDescent="0.2">
      <c r="B119" s="36"/>
      <c r="C119" s="23" t="str" cm="1">
        <f t="array" ref="C119">IFERROR(L.REMOVECHARS(),"Ctrl+c")</f>
        <v>Ctrl+c</v>
      </c>
      <c r="D119" s="130"/>
      <c r="E119" s="7" t="s">
        <v>724</v>
      </c>
    </row>
    <row r="120" spans="2:12" ht="15" x14ac:dyDescent="0.2">
      <c r="B120" s="35" t="s">
        <v>77</v>
      </c>
      <c r="C120" s="23" t="str" cm="1">
        <f t="array" ref="C120">IFERROR(L.TEXT2ARRAY(),"Ctrl+c")</f>
        <v>Ctrl+c</v>
      </c>
      <c r="D120" s="27" t="str" cm="1">
        <f t="array" aca="1" ref="D120" ca="1">HYPERLINK(L.BOOKMARK(General!B50),"►")</f>
        <v>►</v>
      </c>
      <c r="E120" s="7" t="s">
        <v>725</v>
      </c>
    </row>
    <row r="121" spans="2:12" ht="15" x14ac:dyDescent="0.2">
      <c r="B121" s="35" t="s">
        <v>77</v>
      </c>
      <c r="C121" s="23" t="str" cm="1">
        <f t="array" ref="C121">IFERROR(L.ROMAN2INT(),"Ctrl+c")</f>
        <v>Ctrl+c</v>
      </c>
      <c r="D121" s="27" t="str" cm="1">
        <f t="array" aca="1" ref="D121" ca="1">HYPERLINK(L.BOOKMARK(General!B38),"►")</f>
        <v>►</v>
      </c>
      <c r="E121" s="7" t="s">
        <v>726</v>
      </c>
    </row>
    <row r="122" spans="2:12" x14ac:dyDescent="0.2">
      <c r="C122" s="7"/>
      <c r="D122" s="45"/>
      <c r="E122" s="7"/>
      <c r="F122" s="7"/>
      <c r="G122" s="7"/>
      <c r="H122" s="7"/>
      <c r="I122" s="7"/>
      <c r="J122" s="7"/>
      <c r="K122" s="7"/>
      <c r="L122" s="7"/>
    </row>
    <row r="123" spans="2:12" x14ac:dyDescent="0.2">
      <c r="B123" s="21" t="s">
        <v>330</v>
      </c>
      <c r="D123" s="45"/>
      <c r="E123" s="7"/>
      <c r="F123" s="7"/>
      <c r="G123" s="7"/>
      <c r="H123" s="7"/>
      <c r="I123" s="7"/>
      <c r="J123" s="7"/>
      <c r="K123" s="7"/>
      <c r="L123" s="7"/>
    </row>
    <row r="124" spans="2:12" ht="15" x14ac:dyDescent="0.2">
      <c r="B124" s="35" t="s">
        <v>77</v>
      </c>
      <c r="C124" s="23" t="str" cm="1">
        <f t="array" ref="C124">IFERROR(L.SOLVE_NR(),"Ctrl+c")</f>
        <v>Ctrl+c</v>
      </c>
      <c r="D124" s="45"/>
      <c r="E124" s="7" t="s">
        <v>331</v>
      </c>
      <c r="F124" s="7"/>
      <c r="G124" s="7"/>
      <c r="H124" s="7"/>
      <c r="I124" s="7"/>
      <c r="J124" s="7"/>
      <c r="K124" s="7"/>
      <c r="L124" s="7"/>
    </row>
    <row r="125" spans="2:12" ht="15" x14ac:dyDescent="0.2">
      <c r="B125" s="35" t="s">
        <v>77</v>
      </c>
      <c r="C125" s="23" t="str" cm="1">
        <f t="array" ref="C125">IFERROR(L.QUADRATIC(),"Ctrl+c")</f>
        <v>Ctrl+c</v>
      </c>
      <c r="D125" s="27" t="str" cm="1">
        <f t="array" aca="1" ref="D125" ca="1">HYPERLINK(L.BOOKMARK(Polynomials!B437),"►")</f>
        <v>►</v>
      </c>
      <c r="E125" s="7" t="s">
        <v>727</v>
      </c>
      <c r="F125" s="7"/>
      <c r="G125" s="7"/>
      <c r="H125" s="7"/>
      <c r="I125" s="7"/>
      <c r="J125" s="7"/>
      <c r="K125" s="7"/>
      <c r="L125" s="7"/>
    </row>
    <row r="126" spans="2:12" x14ac:dyDescent="0.2">
      <c r="B126" s="7"/>
      <c r="C126" s="7"/>
      <c r="D126" s="45"/>
      <c r="E126" s="7"/>
      <c r="F126" s="7"/>
      <c r="G126" s="7"/>
      <c r="H126" s="7"/>
      <c r="I126" s="7"/>
      <c r="J126" s="7"/>
      <c r="K126" s="7"/>
      <c r="L126" s="7"/>
    </row>
    <row r="127" spans="2:12" x14ac:dyDescent="0.2">
      <c r="B127" s="21" t="s">
        <v>626</v>
      </c>
      <c r="D127" s="44"/>
      <c r="E127" s="7"/>
      <c r="F127" s="7"/>
      <c r="G127" s="7"/>
      <c r="H127" s="7"/>
      <c r="I127" s="7"/>
      <c r="J127" s="7"/>
      <c r="K127" s="7"/>
      <c r="L127" s="7"/>
    </row>
    <row r="128" spans="2:12" ht="15" x14ac:dyDescent="0.2">
      <c r="B128" s="35" t="s">
        <v>77</v>
      </c>
      <c r="C128" s="23" t="str" cm="1">
        <f t="array" aca="1" ref="C128" ca="1">IFERROR(L.TIMER(),"Ctrl+c")</f>
        <v>Ctrl+c</v>
      </c>
      <c r="D128" s="27" t="str" cm="1">
        <f t="array" aca="1" ref="D128" ca="1">HYPERLINK(L.BOOKMARK(General!B124),"►")</f>
        <v>►</v>
      </c>
      <c r="E128" s="7" t="s">
        <v>728</v>
      </c>
      <c r="F128" s="7"/>
      <c r="G128" s="7"/>
      <c r="H128" s="7"/>
      <c r="I128" s="7"/>
      <c r="J128" s="7"/>
      <c r="K128" s="7"/>
      <c r="L128" s="7"/>
    </row>
    <row r="129" spans="2:12" ht="15" x14ac:dyDescent="0.2">
      <c r="B129" s="35" t="s">
        <v>77</v>
      </c>
      <c r="C129" s="23" t="str" cm="1">
        <f t="array" ref="C129">IFERROR(L.BYROW2D(),"Ctrl+c")</f>
        <v>Ctrl+c</v>
      </c>
      <c r="D129" s="27" t="str" cm="1">
        <f t="array" aca="1" ref="D129" ca="1">HYPERLINK(L.BOOKMARK(General!B133),"►")</f>
        <v>►</v>
      </c>
      <c r="E129" s="7" t="s">
        <v>729</v>
      </c>
      <c r="F129" s="7"/>
      <c r="G129" s="7"/>
      <c r="H129" s="7"/>
      <c r="I129" s="7"/>
      <c r="J129" s="7"/>
      <c r="K129" s="7"/>
      <c r="L129" s="7"/>
    </row>
    <row r="130" spans="2:12" ht="15" x14ac:dyDescent="0.2">
      <c r="B130" s="35" t="s">
        <v>77</v>
      </c>
      <c r="C130" s="23" t="str" cm="1">
        <f t="array" ref="C130">IFERROR(L.BYCOL2D(),"Ctrl+c")</f>
        <v>Ctrl+c</v>
      </c>
      <c r="D130" s="27" t="str" cm="1">
        <f t="array" aca="1" ref="D130" ca="1">HYPERLINK(L.BOOKMARK(General!B133),"►")</f>
        <v>►</v>
      </c>
      <c r="E130" s="7" t="s">
        <v>730</v>
      </c>
      <c r="F130" s="7"/>
      <c r="G130" s="7"/>
      <c r="H130" s="7"/>
      <c r="I130" s="7"/>
      <c r="J130" s="7"/>
      <c r="K130" s="7"/>
      <c r="L130" s="7"/>
    </row>
    <row r="131" spans="2:12" ht="15" x14ac:dyDescent="0.2">
      <c r="B131" s="35" t="s">
        <v>77</v>
      </c>
      <c r="C131" s="23" t="str" cm="1">
        <f t="array" ref="C131">IFERROR(L.VSTACK_ForEach(),"Ctrl+c")</f>
        <v>Ctrl+c</v>
      </c>
      <c r="D131" s="27" t="str" cm="1">
        <f t="array" aca="1" ref="D131" ca="1">HYPERLINK(L.BOOKMARK(General!B148),"►")</f>
        <v>►</v>
      </c>
      <c r="E131" s="7" t="s">
        <v>914</v>
      </c>
      <c r="F131" s="7"/>
      <c r="G131" s="7"/>
      <c r="H131" s="7"/>
      <c r="I131" s="7"/>
      <c r="J131" s="7"/>
      <c r="K131" s="7"/>
      <c r="L131" s="7"/>
    </row>
    <row r="132" spans="2:12" x14ac:dyDescent="0.2">
      <c r="C132" s="23"/>
      <c r="D132" s="44"/>
      <c r="E132" s="7"/>
    </row>
    <row r="133" spans="2:12" x14ac:dyDescent="0.2">
      <c r="B133" s="21" t="s">
        <v>627</v>
      </c>
      <c r="C133" s="23"/>
      <c r="D133" s="44"/>
      <c r="E133" s="7"/>
    </row>
    <row r="134" spans="2:12" ht="15" x14ac:dyDescent="0.2">
      <c r="B134" s="35" t="s">
        <v>77</v>
      </c>
      <c r="C134" s="23" t="str" cm="1">
        <f t="array" ref="C134">IFERROR(L.STRUCT_CREATE(),"Ctrl+c")</f>
        <v>Ctrl+c</v>
      </c>
      <c r="D134" s="27" t="str" cm="1">
        <f t="array" aca="1" ref="D134" ca="1">HYPERLINK(L.BOOKMARK(Structures!H19),"►")</f>
        <v>►</v>
      </c>
      <c r="E134" s="7" t="s">
        <v>337</v>
      </c>
    </row>
    <row r="135" spans="2:12" ht="15" x14ac:dyDescent="0.2">
      <c r="B135" s="35" t="s">
        <v>77</v>
      </c>
      <c r="C135" s="23" t="str" cm="1">
        <f t="array" ref="C135">IFERROR(L.STRUCT_GET(),"Ctrl+c")</f>
        <v>Ctrl+c</v>
      </c>
      <c r="D135" s="27" t="str" cm="1">
        <f t="array" aca="1" ref="D135" ca="1">HYPERLINK(L.BOOKMARK(Structures!C31),"►")</f>
        <v>►</v>
      </c>
      <c r="E135" s="7" t="s">
        <v>338</v>
      </c>
    </row>
    <row r="136" spans="2:12" ht="15" x14ac:dyDescent="0.2">
      <c r="B136" s="35" t="s">
        <v>77</v>
      </c>
      <c r="C136" s="23" t="str" cm="1">
        <f t="array" ref="C136">IFERROR(L.STRUCT_APPEND(),"Ctrl+c")</f>
        <v>Ctrl+c</v>
      </c>
      <c r="D136" s="27" t="str" cm="1">
        <f t="array" aca="1" ref="D136" ca="1">HYPERLINK(L.BOOKMARK(Structures!I51),"►")</f>
        <v>►</v>
      </c>
      <c r="E136" s="7" t="s">
        <v>339</v>
      </c>
    </row>
    <row r="137" spans="2:12" ht="15" x14ac:dyDescent="0.2">
      <c r="B137" s="35" t="s">
        <v>77</v>
      </c>
      <c r="C137" s="23" t="str" cm="1">
        <f t="array" ref="C137">IFERROR(L.STRUCT_REMOVE(),"Ctrl+c")</f>
        <v>Ctrl+c</v>
      </c>
      <c r="D137" s="27" t="str" cm="1">
        <f t="array" aca="1" ref="D137" ca="1">HYPERLINK(L.BOOKMARK(Structures!C39),"►")</f>
        <v>►</v>
      </c>
      <c r="E137" s="7" t="s">
        <v>340</v>
      </c>
    </row>
    <row r="138" spans="2:12" x14ac:dyDescent="0.2">
      <c r="B138" s="7"/>
      <c r="C138" s="7"/>
      <c r="D138" s="45"/>
      <c r="E138" s="7"/>
      <c r="F138" s="7"/>
      <c r="G138" s="7"/>
      <c r="H138" s="7"/>
      <c r="I138" s="7"/>
      <c r="J138" s="7"/>
      <c r="K138" s="7"/>
      <c r="L138" s="7"/>
    </row>
    <row r="139" spans="2:12" x14ac:dyDescent="0.2">
      <c r="B139" s="21" t="s">
        <v>628</v>
      </c>
      <c r="D139" s="44"/>
    </row>
    <row r="140" spans="2:12" ht="15" x14ac:dyDescent="0.2">
      <c r="B140" s="35" t="s">
        <v>77</v>
      </c>
      <c r="C140" s="23" t="str" cm="1">
        <f t="array" ref="C140">IFERROR(L.SFROUND(),"Ctrl+c")</f>
        <v>Ctrl+c</v>
      </c>
      <c r="D140" s="27" t="str" cm="1">
        <f t="array" aca="1" ref="D140" ca="1">HYPERLINK(L.BOOKMARK(General!B10),"►")</f>
        <v>►</v>
      </c>
      <c r="E140" s="7" t="s">
        <v>731</v>
      </c>
      <c r="F140" s="7"/>
      <c r="G140" s="7"/>
      <c r="H140" s="7"/>
      <c r="I140" s="7"/>
      <c r="J140" s="7"/>
      <c r="K140" s="7"/>
      <c r="L140" s="7"/>
    </row>
    <row r="141" spans="2:12" ht="15" x14ac:dyDescent="0.2">
      <c r="B141" s="35" t="s">
        <v>77</v>
      </c>
      <c r="C141" s="23" t="str" cm="1">
        <f t="array" ref="C141">IFERROR(L.SCURVE(),"Ctrl+c")</f>
        <v>Ctrl+c</v>
      </c>
      <c r="D141" s="27" t="str" cm="1">
        <f t="array" aca="1" ref="D141" ca="1">HYPERLINK(L.BOOKMARK(General!B163),"►")</f>
        <v>►</v>
      </c>
      <c r="E141" s="7" t="s">
        <v>732</v>
      </c>
      <c r="F141" s="7"/>
      <c r="G141" s="7"/>
      <c r="H141" s="7"/>
      <c r="I141" s="7"/>
      <c r="J141" s="7"/>
      <c r="K141" s="7"/>
      <c r="L141" s="7"/>
    </row>
    <row r="142" spans="2:12" ht="15" x14ac:dyDescent="0.2">
      <c r="B142" s="35" t="s">
        <v>77</v>
      </c>
      <c r="C142" s="23" t="str" cm="1">
        <f t="array" ref="C142">IFERROR(L.CUMULATIVESUM(),"Ctrl+c")</f>
        <v>Ctrl+c</v>
      </c>
      <c r="D142" s="27" t="str" cm="1">
        <f t="array" aca="1" ref="D142" ca="1">HYPERLINK(L.BOOKMARK(General!B25),"►")</f>
        <v>►</v>
      </c>
      <c r="E142" s="7" t="s">
        <v>733</v>
      </c>
      <c r="F142" s="7"/>
      <c r="G142" s="7"/>
      <c r="H142" s="7"/>
      <c r="I142" s="7"/>
      <c r="J142" s="7"/>
      <c r="K142" s="7"/>
      <c r="L142" s="7"/>
    </row>
    <row r="143" spans="2:12" ht="15" x14ac:dyDescent="0.2">
      <c r="B143" s="35" t="s">
        <v>77</v>
      </c>
      <c r="C143" s="23" t="str" cm="1">
        <f t="array" aca="1" ref="C143" ca="1">IFERROR(L.BOOKMARK(),"Ctrl+c")</f>
        <v>Ctrl+c</v>
      </c>
      <c r="D143" s="27" t="str" cm="1">
        <f t="array" aca="1" ref="D143" ca="1">HYPERLINK(L.BOOKMARK(General!B169),"►")</f>
        <v>►</v>
      </c>
      <c r="E143" s="7" t="s">
        <v>734</v>
      </c>
      <c r="F143" s="7"/>
      <c r="G143" s="7"/>
      <c r="H143" s="7"/>
      <c r="I143" s="7"/>
      <c r="J143" s="7"/>
      <c r="K143" s="7"/>
      <c r="L143" s="7"/>
    </row>
    <row r="144" spans="2:12" ht="15" x14ac:dyDescent="0.2">
      <c r="B144" s="7"/>
      <c r="C144" s="23" t="str" cm="1">
        <f t="array" aca="1" ref="C144" ca="1">IFERROR(L.AD(),"Ctrl+c")</f>
        <v>Ctrl+c</v>
      </c>
      <c r="D144" s="27" t="str" cm="1">
        <f t="array" aca="1" ref="D144" ca="1">HYPERLINK(L.BOOKMARK(General!B177),"►")</f>
        <v>►</v>
      </c>
      <c r="E144" s="7" t="s">
        <v>735</v>
      </c>
      <c r="F144" s="7"/>
      <c r="G144" s="7"/>
      <c r="H144" s="7"/>
      <c r="I144" s="7"/>
      <c r="J144" s="7"/>
      <c r="K144" s="7"/>
      <c r="L144" s="7"/>
    </row>
    <row r="145" spans="1:12" x14ac:dyDescent="0.2">
      <c r="B145" s="7"/>
      <c r="C145" s="7"/>
      <c r="D145" s="7"/>
      <c r="E145" s="7"/>
      <c r="F145" s="7"/>
      <c r="G145" s="7"/>
      <c r="H145" s="7"/>
      <c r="I145" s="7"/>
      <c r="J145" s="7"/>
      <c r="K145" s="7"/>
      <c r="L145" s="7"/>
    </row>
    <row r="146" spans="1:12" ht="18" customHeight="1" x14ac:dyDescent="0.2">
      <c r="A146" s="7"/>
      <c r="B146" s="7"/>
      <c r="C146" s="7"/>
      <c r="D146" s="7"/>
      <c r="E146" s="7"/>
      <c r="F146" s="7"/>
      <c r="G146" s="7"/>
      <c r="H146" s="7"/>
      <c r="I146" s="7"/>
      <c r="J146" s="7"/>
      <c r="K146" s="7"/>
      <c r="L146" s="7"/>
    </row>
    <row r="147" spans="1:12" ht="24" customHeight="1" x14ac:dyDescent="0.2">
      <c r="A147" s="7" t="s">
        <v>6</v>
      </c>
      <c r="B147" s="12" t="s">
        <v>50</v>
      </c>
      <c r="C147" s="8"/>
      <c r="D147" s="8"/>
      <c r="E147" s="8"/>
      <c r="F147" s="8"/>
      <c r="G147" s="8"/>
      <c r="H147" s="8"/>
      <c r="I147" s="8"/>
      <c r="J147" s="8"/>
      <c r="K147" s="8"/>
      <c r="L147" s="7"/>
    </row>
    <row r="148" spans="1:12" ht="18" customHeight="1" x14ac:dyDescent="0.2">
      <c r="A148" s="7"/>
      <c r="B148" s="7"/>
      <c r="C148" s="7"/>
      <c r="D148" s="7"/>
      <c r="E148" s="7"/>
      <c r="F148" s="7"/>
      <c r="G148" s="7"/>
      <c r="H148" s="7"/>
      <c r="I148" s="7"/>
      <c r="J148" s="7"/>
      <c r="K148" s="7"/>
      <c r="L148" s="7"/>
    </row>
    <row r="149" spans="1:12" ht="18" customHeight="1" x14ac:dyDescent="0.2">
      <c r="A149" s="7"/>
      <c r="C149" s="7" t="s">
        <v>51</v>
      </c>
      <c r="D149" s="7"/>
      <c r="E149" s="7"/>
      <c r="F149" s="7"/>
      <c r="G149" s="7"/>
      <c r="H149" s="7"/>
      <c r="I149" s="7"/>
      <c r="J149" s="7"/>
      <c r="K149" s="7"/>
      <c r="L149" s="7"/>
    </row>
    <row r="150" spans="1:12" ht="18" customHeight="1" x14ac:dyDescent="0.2">
      <c r="A150" s="7"/>
      <c r="C150" s="7" t="s">
        <v>2</v>
      </c>
      <c r="D150" s="7"/>
      <c r="F150" s="7"/>
      <c r="G150" s="7"/>
      <c r="H150" s="7"/>
      <c r="I150" s="7"/>
      <c r="J150" s="7"/>
      <c r="K150" s="7"/>
      <c r="L150" s="7"/>
    </row>
    <row r="151" spans="1:12" ht="18" customHeight="1" x14ac:dyDescent="0.2">
      <c r="A151" s="7"/>
      <c r="C151" s="7" t="s">
        <v>3</v>
      </c>
      <c r="D151" s="7"/>
      <c r="F151" s="7"/>
      <c r="G151" s="7"/>
      <c r="H151" s="7"/>
      <c r="I151" s="7"/>
      <c r="J151" s="7"/>
      <c r="K151" s="7"/>
      <c r="L151" s="7"/>
    </row>
    <row r="152" spans="1:12" ht="18" customHeight="1" x14ac:dyDescent="0.2">
      <c r="A152" s="7"/>
      <c r="C152" s="7" t="s">
        <v>4</v>
      </c>
      <c r="D152" s="7"/>
      <c r="F152" s="7"/>
      <c r="G152" s="7"/>
      <c r="H152" s="7"/>
      <c r="I152" s="7"/>
      <c r="J152" s="7"/>
      <c r="K152" s="7"/>
      <c r="L152" s="7"/>
    </row>
    <row r="153" spans="1:12" ht="18" customHeight="1" x14ac:dyDescent="0.2">
      <c r="A153" s="7"/>
      <c r="C153" s="7" t="s">
        <v>739</v>
      </c>
      <c r="D153" s="7"/>
      <c r="F153" s="7"/>
      <c r="G153" s="7"/>
      <c r="H153" s="7"/>
      <c r="I153" s="7"/>
      <c r="J153" s="7"/>
      <c r="K153" s="7"/>
      <c r="L153" s="7"/>
    </row>
    <row r="154" spans="1:12" ht="18" customHeight="1" x14ac:dyDescent="0.2">
      <c r="A154" s="7"/>
      <c r="C154" s="7"/>
      <c r="D154" s="7"/>
      <c r="E154" s="7"/>
      <c r="F154" s="7"/>
      <c r="G154" s="7"/>
      <c r="H154" s="7"/>
      <c r="I154" s="7"/>
      <c r="J154" s="7"/>
      <c r="K154" s="7"/>
      <c r="L154" s="7"/>
    </row>
    <row r="155" spans="1:12" ht="18" customHeight="1" x14ac:dyDescent="0.2">
      <c r="A155" s="7"/>
      <c r="C155" s="210" t="s">
        <v>737</v>
      </c>
      <c r="D155" s="210"/>
      <c r="E155" s="210"/>
      <c r="F155" s="210"/>
      <c r="G155" s="210"/>
      <c r="H155" s="210"/>
      <c r="I155" s="210"/>
      <c r="J155" s="210"/>
      <c r="K155" s="210"/>
      <c r="L155" s="7"/>
    </row>
    <row r="156" spans="1:12" ht="18" customHeight="1" x14ac:dyDescent="0.2">
      <c r="A156" s="7"/>
      <c r="C156" s="210"/>
      <c r="D156" s="210"/>
      <c r="E156" s="210"/>
      <c r="F156" s="210"/>
      <c r="G156" s="210"/>
      <c r="H156" s="210"/>
      <c r="I156" s="210"/>
      <c r="J156" s="210"/>
      <c r="K156" s="210"/>
      <c r="L156" s="7"/>
    </row>
    <row r="157" spans="1:12" ht="18" customHeight="1" x14ac:dyDescent="0.2">
      <c r="A157" s="7"/>
      <c r="C157" s="210"/>
      <c r="D157" s="210"/>
      <c r="E157" s="210"/>
      <c r="F157" s="210"/>
      <c r="G157" s="210"/>
      <c r="H157" s="210"/>
      <c r="I157" s="210"/>
      <c r="J157" s="210"/>
      <c r="K157" s="210"/>
      <c r="L157" s="7"/>
    </row>
    <row r="158" spans="1:12" ht="18" customHeight="1" x14ac:dyDescent="0.2">
      <c r="A158" s="7"/>
      <c r="C158" s="210"/>
      <c r="D158" s="210"/>
      <c r="E158" s="210"/>
      <c r="F158" s="210"/>
      <c r="G158" s="210"/>
      <c r="H158" s="210"/>
      <c r="I158" s="210"/>
      <c r="J158" s="210"/>
      <c r="K158" s="210"/>
      <c r="L158" s="7"/>
    </row>
    <row r="159" spans="1:12" ht="18" customHeight="1" x14ac:dyDescent="0.2">
      <c r="A159" s="7"/>
      <c r="C159" s="7"/>
      <c r="D159" s="7"/>
      <c r="E159" s="7"/>
      <c r="F159" s="7"/>
      <c r="G159" s="7"/>
      <c r="H159" s="7"/>
      <c r="I159" s="7"/>
      <c r="J159" s="7"/>
      <c r="K159" s="7"/>
      <c r="L159" s="7"/>
    </row>
    <row r="160" spans="1:12" ht="18" customHeight="1" x14ac:dyDescent="0.2">
      <c r="A160" s="7"/>
      <c r="C160" s="7" t="s">
        <v>52</v>
      </c>
      <c r="D160" s="7"/>
      <c r="E160" s="7"/>
      <c r="F160" s="7"/>
      <c r="G160" s="7"/>
      <c r="H160" s="7"/>
      <c r="I160" s="7"/>
      <c r="J160" s="7"/>
      <c r="K160" s="7"/>
      <c r="L160" s="7"/>
    </row>
    <row r="161" spans="1:12" ht="15" x14ac:dyDescent="0.2">
      <c r="E161" s="72" t="s">
        <v>738</v>
      </c>
      <c r="F161" s="3" t="s">
        <v>39</v>
      </c>
    </row>
    <row r="162" spans="1:12" ht="18" customHeight="1" x14ac:dyDescent="0.2">
      <c r="A162" s="7"/>
      <c r="C162" s="7"/>
      <c r="D162" s="7"/>
      <c r="E162" s="7"/>
      <c r="F162" s="7"/>
      <c r="G162" s="7"/>
      <c r="H162" s="7"/>
      <c r="I162" s="7"/>
      <c r="J162" s="7"/>
      <c r="K162" s="7"/>
      <c r="L162" s="7"/>
    </row>
    <row r="163" spans="1:12" ht="18" customHeight="1" x14ac:dyDescent="0.2">
      <c r="A163" s="7"/>
      <c r="C163" s="7" t="s">
        <v>740</v>
      </c>
      <c r="D163" s="7"/>
      <c r="E163" s="7"/>
      <c r="F163" s="7"/>
      <c r="G163" s="7"/>
      <c r="H163" s="7"/>
      <c r="I163" s="7"/>
      <c r="J163" s="7"/>
      <c r="K163" s="7"/>
      <c r="L163" s="7"/>
    </row>
    <row r="164" spans="1:12" ht="18" customHeight="1" x14ac:dyDescent="0.2">
      <c r="A164" s="7"/>
      <c r="C164" s="7"/>
      <c r="D164" s="7"/>
      <c r="E164" s="7"/>
      <c r="F164" s="7"/>
      <c r="G164" s="7"/>
      <c r="H164" s="7"/>
      <c r="I164" s="7"/>
      <c r="J164" s="7"/>
      <c r="K164" s="7"/>
      <c r="L164" s="7"/>
    </row>
    <row r="165" spans="1:12" ht="18" customHeight="1" x14ac:dyDescent="0.2">
      <c r="A165" s="7"/>
      <c r="C165" s="7" t="s">
        <v>741</v>
      </c>
      <c r="D165" s="7"/>
      <c r="E165" s="7"/>
      <c r="F165" s="7"/>
      <c r="G165" s="7"/>
      <c r="H165" s="7"/>
      <c r="I165" s="7"/>
      <c r="J165" s="7"/>
      <c r="K165" s="7"/>
      <c r="L165" s="7"/>
    </row>
    <row r="166" spans="1:12" ht="18" customHeight="1" x14ac:dyDescent="0.2">
      <c r="A166" s="7"/>
      <c r="C166" s="7"/>
      <c r="D166" s="7"/>
      <c r="E166" s="7"/>
      <c r="F166" s="7"/>
      <c r="G166" s="7"/>
      <c r="H166" s="7"/>
      <c r="I166" s="7"/>
      <c r="J166" s="7"/>
      <c r="K166" s="7"/>
      <c r="L166" s="7"/>
    </row>
    <row r="167" spans="1:12" ht="18" customHeight="1" x14ac:dyDescent="0.2">
      <c r="A167" s="7"/>
      <c r="C167" s="7" t="s">
        <v>742</v>
      </c>
      <c r="D167" s="7"/>
      <c r="E167" s="7"/>
      <c r="F167" s="7"/>
      <c r="G167" s="7"/>
      <c r="H167" s="7"/>
      <c r="I167" s="7"/>
      <c r="J167" s="7"/>
      <c r="K167" s="7"/>
      <c r="L167" s="7"/>
    </row>
    <row r="168" spans="1:12" ht="18" customHeight="1" x14ac:dyDescent="0.2">
      <c r="A168" s="7"/>
      <c r="B168" s="7"/>
      <c r="C168" s="7"/>
      <c r="D168" s="7"/>
      <c r="E168" s="7"/>
      <c r="F168" s="7"/>
      <c r="G168" s="7"/>
      <c r="H168" s="7"/>
      <c r="I168" s="7"/>
      <c r="J168" s="7"/>
      <c r="K168" s="7"/>
      <c r="L168" s="7"/>
    </row>
    <row r="169" spans="1:12" ht="18" customHeight="1" x14ac:dyDescent="0.2">
      <c r="A169" s="7"/>
      <c r="B169" s="7"/>
      <c r="C169" s="7"/>
      <c r="D169" s="7"/>
      <c r="E169" s="7"/>
      <c r="F169" s="7"/>
      <c r="G169" s="7"/>
      <c r="H169" s="7"/>
      <c r="I169" s="7"/>
      <c r="J169" s="7"/>
      <c r="K169" s="7"/>
      <c r="L169" s="7"/>
    </row>
    <row r="170" spans="1:12" ht="18" customHeight="1" x14ac:dyDescent="0.2">
      <c r="A170" s="7"/>
      <c r="B170" s="7"/>
      <c r="C170" s="7"/>
      <c r="D170" s="7"/>
      <c r="E170" s="7"/>
      <c r="F170" s="7"/>
      <c r="G170" s="7"/>
      <c r="H170" s="7"/>
      <c r="I170" s="7"/>
      <c r="J170" s="7"/>
      <c r="K170" s="7"/>
      <c r="L170" s="7"/>
    </row>
    <row r="172" spans="1:12" ht="18" customHeight="1" x14ac:dyDescent="0.2">
      <c r="A172" s="7"/>
      <c r="B172" s="7"/>
      <c r="C172" s="7"/>
      <c r="D172" s="7"/>
      <c r="E172" s="7"/>
      <c r="F172" s="7"/>
      <c r="G172" s="7"/>
      <c r="H172" s="7"/>
      <c r="I172" s="7"/>
      <c r="J172" s="7"/>
      <c r="K172" s="7"/>
      <c r="L172" s="7"/>
    </row>
    <row r="173" spans="1:12" ht="18" customHeight="1" x14ac:dyDescent="0.2">
      <c r="A173" s="28" t="s">
        <v>6</v>
      </c>
      <c r="B173" s="13"/>
      <c r="C173" s="14" t="s">
        <v>44</v>
      </c>
      <c r="D173" s="14"/>
      <c r="E173" s="6"/>
      <c r="F173" s="6"/>
      <c r="G173" s="6"/>
      <c r="H173" s="6"/>
      <c r="I173" s="6"/>
      <c r="J173" s="6"/>
      <c r="K173" s="6"/>
      <c r="L173" s="7"/>
    </row>
    <row r="174" spans="1:12" ht="18" customHeight="1" x14ac:dyDescent="0.2">
      <c r="A174" s="7"/>
      <c r="B174" s="7"/>
      <c r="C174" s="7"/>
      <c r="D174" s="7"/>
      <c r="E174" s="7"/>
      <c r="F174" s="7"/>
      <c r="G174" s="7"/>
      <c r="H174" s="7"/>
      <c r="I174" s="7"/>
      <c r="J174" s="7"/>
      <c r="K174" s="7"/>
      <c r="L174" s="7"/>
    </row>
    <row r="175" spans="1:12" ht="18" customHeight="1" x14ac:dyDescent="0.2"/>
    <row r="176" spans="1:12" ht="18" customHeight="1" x14ac:dyDescent="0.2">
      <c r="B176" s="9" t="s">
        <v>0</v>
      </c>
      <c r="C176" s="10" t="str">
        <f>HYPERLINK("https://support.microsoft.com/en-us/office/use-formula-autocomplete-6d13daa5-e003-4431-abab-9edef51fae6b","Formula Autocomplete (support.microsoft.com)")</f>
        <v>Formula Autocomplete (support.microsoft.com)</v>
      </c>
      <c r="D176" s="10"/>
    </row>
    <row r="177" spans="1:12" ht="18" customHeight="1" x14ac:dyDescent="0.2">
      <c r="A177" s="7"/>
      <c r="B177" s="7"/>
      <c r="C177" s="7"/>
      <c r="D177" s="7"/>
      <c r="E177" s="7"/>
      <c r="F177" s="7"/>
      <c r="G177" s="7"/>
      <c r="H177" s="7"/>
      <c r="I177" s="7"/>
      <c r="J177" s="7"/>
      <c r="K177" s="7"/>
      <c r="L177" s="7"/>
    </row>
    <row r="178" spans="1:12" ht="18" customHeight="1" x14ac:dyDescent="0.2">
      <c r="A178" s="7"/>
      <c r="B178" s="9" t="s">
        <v>0</v>
      </c>
      <c r="C178" s="10" t="s">
        <v>37</v>
      </c>
      <c r="D178" s="10"/>
    </row>
    <row r="179" spans="1:12" ht="18" customHeight="1" x14ac:dyDescent="0.2">
      <c r="A179" s="7"/>
      <c r="B179" s="7"/>
      <c r="C179" s="11"/>
      <c r="D179" s="11"/>
      <c r="E179" s="7"/>
      <c r="F179" s="7"/>
      <c r="G179" s="7"/>
      <c r="H179" s="7"/>
      <c r="I179" s="7"/>
      <c r="J179" s="7"/>
      <c r="K179" s="7"/>
      <c r="L179" s="7"/>
    </row>
    <row r="180" spans="1:12" ht="18" customHeight="1" x14ac:dyDescent="0.2">
      <c r="B180" s="9" t="s">
        <v>5</v>
      </c>
      <c r="C180" s="15" t="str">
        <f>HYPERLINK("https://www.youtube.com/watch?v=45v5NhPhopc","Excel Lambda Function - ExcelIsFun")</f>
        <v>Excel Lambda Function - ExcelIsFun</v>
      </c>
      <c r="D180" s="15"/>
    </row>
    <row r="181" spans="1:12" ht="18" customHeight="1" x14ac:dyDescent="0.2"/>
    <row r="182" spans="1:12" ht="18" customHeight="1" x14ac:dyDescent="0.2"/>
    <row r="183" spans="1:12" ht="18" customHeight="1" x14ac:dyDescent="0.2">
      <c r="A183" s="28" t="s">
        <v>6</v>
      </c>
      <c r="B183" s="14" t="s">
        <v>317</v>
      </c>
      <c r="C183" s="14"/>
      <c r="D183" s="14"/>
      <c r="E183" s="6"/>
      <c r="F183" s="6"/>
      <c r="G183" s="6"/>
      <c r="H183" s="6"/>
      <c r="I183" s="6"/>
      <c r="J183" s="6"/>
      <c r="K183" s="6"/>
      <c r="L183" s="7"/>
    </row>
    <row r="184" spans="1:12" ht="18" customHeight="1" x14ac:dyDescent="0.2"/>
    <row r="185" spans="1:12" ht="18" customHeight="1" x14ac:dyDescent="0.2">
      <c r="B185" t="s">
        <v>916</v>
      </c>
      <c r="C185" s="96">
        <v>45673</v>
      </c>
      <c r="E185" t="s">
        <v>919</v>
      </c>
    </row>
    <row r="186" spans="1:12" ht="18" customHeight="1" x14ac:dyDescent="0.2">
      <c r="B186" t="s">
        <v>877</v>
      </c>
      <c r="C186" s="96">
        <v>45670</v>
      </c>
      <c r="E186" t="s">
        <v>915</v>
      </c>
    </row>
    <row r="187" spans="1:12" ht="18" customHeight="1" x14ac:dyDescent="0.2">
      <c r="B187" t="s">
        <v>822</v>
      </c>
      <c r="C187" s="96">
        <v>45657</v>
      </c>
      <c r="E187" t="s">
        <v>870</v>
      </c>
    </row>
    <row r="188" spans="1:12" ht="18" customHeight="1" x14ac:dyDescent="0.2">
      <c r="B188" t="s">
        <v>819</v>
      </c>
      <c r="C188" s="96">
        <v>45637</v>
      </c>
      <c r="D188" s="96"/>
      <c r="E188" t="s">
        <v>820</v>
      </c>
    </row>
    <row r="189" spans="1:12" ht="18" customHeight="1" x14ac:dyDescent="0.2">
      <c r="B189" t="s">
        <v>614</v>
      </c>
      <c r="C189" s="96">
        <v>45636</v>
      </c>
      <c r="D189" s="96"/>
      <c r="E189" t="s">
        <v>655</v>
      </c>
    </row>
    <row r="190" spans="1:12" ht="18" customHeight="1" x14ac:dyDescent="0.2">
      <c r="B190" t="s">
        <v>592</v>
      </c>
      <c r="C190" s="96">
        <v>45391</v>
      </c>
      <c r="D190" s="96"/>
      <c r="E190" t="s">
        <v>656</v>
      </c>
    </row>
    <row r="191" spans="1:12" ht="18" customHeight="1" x14ac:dyDescent="0.2">
      <c r="B191" t="s">
        <v>567</v>
      </c>
      <c r="C191" s="96">
        <v>45383</v>
      </c>
      <c r="D191" s="96"/>
      <c r="E191" t="s">
        <v>657</v>
      </c>
    </row>
    <row r="192" spans="1:12" ht="18" customHeight="1" x14ac:dyDescent="0.2">
      <c r="B192" t="s">
        <v>554</v>
      </c>
      <c r="C192" s="96">
        <v>45377</v>
      </c>
      <c r="D192" s="96"/>
      <c r="E192" t="s">
        <v>658</v>
      </c>
    </row>
    <row r="193" spans="2:5" ht="18" customHeight="1" x14ac:dyDescent="0.2">
      <c r="B193" t="s">
        <v>524</v>
      </c>
      <c r="C193" s="96">
        <v>45363</v>
      </c>
      <c r="D193" s="96"/>
      <c r="E193" t="s">
        <v>659</v>
      </c>
    </row>
    <row r="194" spans="2:5" ht="18" customHeight="1" x14ac:dyDescent="0.2">
      <c r="B194" t="s">
        <v>473</v>
      </c>
      <c r="C194" s="96">
        <v>45358</v>
      </c>
      <c r="D194" s="96"/>
      <c r="E194" t="s">
        <v>660</v>
      </c>
    </row>
    <row r="195" spans="2:5" ht="18" customHeight="1" x14ac:dyDescent="0.2">
      <c r="B195" t="s">
        <v>455</v>
      </c>
      <c r="C195" s="96">
        <v>45356</v>
      </c>
      <c r="D195" s="96"/>
      <c r="E195" t="s">
        <v>661</v>
      </c>
    </row>
    <row r="196" spans="2:5" ht="18" customHeight="1" x14ac:dyDescent="0.2">
      <c r="B196" t="s">
        <v>425</v>
      </c>
      <c r="C196" s="96">
        <v>45355</v>
      </c>
      <c r="D196" s="96"/>
      <c r="E196" t="s">
        <v>662</v>
      </c>
    </row>
    <row r="197" spans="2:5" ht="18" customHeight="1" x14ac:dyDescent="0.2">
      <c r="B197" t="s">
        <v>400</v>
      </c>
      <c r="C197" s="96">
        <v>45350</v>
      </c>
      <c r="D197" s="96"/>
      <c r="E197" t="s">
        <v>663</v>
      </c>
    </row>
    <row r="198" spans="2:5" ht="18" customHeight="1" x14ac:dyDescent="0.2">
      <c r="B198" t="s">
        <v>384</v>
      </c>
      <c r="C198" s="96">
        <v>45337</v>
      </c>
      <c r="D198" s="96"/>
      <c r="E198" t="s">
        <v>387</v>
      </c>
    </row>
    <row r="199" spans="2:5" ht="18" customHeight="1" x14ac:dyDescent="0.2">
      <c r="B199" t="s">
        <v>332</v>
      </c>
      <c r="C199" s="96">
        <v>45332</v>
      </c>
      <c r="D199" s="96"/>
      <c r="E199" t="s">
        <v>333</v>
      </c>
    </row>
    <row r="200" spans="2:5" x14ac:dyDescent="0.2">
      <c r="B200" t="s">
        <v>318</v>
      </c>
      <c r="C200" s="96">
        <v>45328</v>
      </c>
      <c r="D200" s="96"/>
      <c r="E200" t="s">
        <v>319</v>
      </c>
    </row>
    <row r="201" spans="2:5" x14ac:dyDescent="0.2">
      <c r="E201" t="s">
        <v>320</v>
      </c>
    </row>
  </sheetData>
  <mergeCells count="7">
    <mergeCell ref="J1:K1"/>
    <mergeCell ref="C155:K158"/>
    <mergeCell ref="B5:K6"/>
    <mergeCell ref="B28:K30"/>
    <mergeCell ref="B20:K22"/>
    <mergeCell ref="B11:K13"/>
    <mergeCell ref="B16:K17"/>
  </mergeCells>
  <phoneticPr fontId="12" type="noConversion"/>
  <hyperlinks>
    <hyperlink ref="B2" r:id="rId1" xr:uid="{00000000-0004-0000-0000-000000000000}"/>
    <hyperlink ref="C178" r:id="rId2" xr:uid="{DC162BE0-0A89-4042-BBB5-AFF961B46330}"/>
    <hyperlink ref="F161" r:id="rId3" xr:uid="{DF7C4B6A-283C-4F5F-9985-55C98FF575F9}"/>
    <hyperlink ref="H8" r:id="rId4" xr:uid="{D7D1F008-B6CC-4472-AE6B-6BDF07F7590A}"/>
    <hyperlink ref="B33" r:id="rId5" xr:uid="{4CC297BF-23FE-4C78-A667-4135F701E68E}"/>
    <hyperlink ref="B34" r:id="rId6" xr:uid="{8CF8F3C2-1DBE-4320-BDB9-6C41F14C3FBD}"/>
    <hyperlink ref="B37" r:id="rId7" xr:uid="{A0BE0DAF-5843-4D72-A6D3-2015A49A2114}"/>
    <hyperlink ref="B43" r:id="rId8" xr:uid="{12F893EE-C07D-419D-A187-F323AA190323}"/>
    <hyperlink ref="B44" r:id="rId9" xr:uid="{09BD67E4-D501-4C44-A123-3E1830FABCF3}"/>
    <hyperlink ref="B45" r:id="rId10" xr:uid="{4C65C93B-8318-4BA8-BF63-9388A570854C}"/>
    <hyperlink ref="B51" r:id="rId11" xr:uid="{5414ABFB-AADF-4FE6-AF18-C0359CCA762E}"/>
    <hyperlink ref="B52" r:id="rId12" xr:uid="{89A94926-CF6A-4056-9646-BAEBC215E432}"/>
    <hyperlink ref="B46" r:id="rId13" xr:uid="{ACD34EE0-75CC-4FC0-8AA7-030830172756}"/>
    <hyperlink ref="B48" r:id="rId14" xr:uid="{E3D2A030-E098-4EEF-AED8-B52C708C2CC6}"/>
    <hyperlink ref="B54" r:id="rId15" xr:uid="{019A055B-AEF4-461D-9D67-69CC05ADA96F}"/>
    <hyperlink ref="B35" r:id="rId16" xr:uid="{6FAC6B75-476C-4F95-8A53-ABE7775212D3}"/>
    <hyperlink ref="B59" r:id="rId17" xr:uid="{A8917367-4F4C-4A2B-ACD0-12F2228D69E7}"/>
    <hyperlink ref="B60" r:id="rId18" xr:uid="{76696B42-86C8-45A7-9E8D-EAD0C1A3F0A2}"/>
    <hyperlink ref="B84" r:id="rId19" xr:uid="{0864AFE9-1850-4024-B012-811A6CB0EAD0}"/>
    <hyperlink ref="B85" r:id="rId20" xr:uid="{723D9C91-5E7C-4B18-833C-52DCB41CD8C4}"/>
    <hyperlink ref="B25" r:id="rId21" xr:uid="{182A3C3A-F837-46F6-8B9E-96ADE132989B}"/>
    <hyperlink ref="B140" r:id="rId22" xr:uid="{7397FF55-E813-40B4-B8FA-E3AA00071362}"/>
    <hyperlink ref="B64" r:id="rId23" xr:uid="{81829FCF-1991-4BBD-A311-CA588832BCCA}"/>
    <hyperlink ref="B65" r:id="rId24" xr:uid="{F7FED3F5-4168-4443-B790-A77B035DB472}"/>
    <hyperlink ref="B32" r:id="rId25" xr:uid="{23DBA5B4-4096-4FD6-820A-93BB05D18422}"/>
    <hyperlink ref="B62" r:id="rId26" xr:uid="{E2E2B2ED-C794-4AA1-BE3B-2B1D324A3279}"/>
    <hyperlink ref="B63" r:id="rId27" xr:uid="{CCA3D8EE-7067-4A14-9AE1-240063B94F47}"/>
    <hyperlink ref="B68" r:id="rId28" xr:uid="{50CBA89C-B235-443E-A088-7C5DA9266CFB}"/>
    <hyperlink ref="B69" r:id="rId29" xr:uid="{78EF6E33-1AEF-474B-A2DF-3F34F691856E}"/>
    <hyperlink ref="B77" r:id="rId30" xr:uid="{C08188DB-0F71-43C5-9745-F9D6B0713AED}"/>
    <hyperlink ref="B78" r:id="rId31" xr:uid="{B7CC0520-FE7D-414B-B8C8-B77095A20D93}"/>
    <hyperlink ref="B86" r:id="rId32" xr:uid="{59971A89-C1F5-4D9D-B965-B47E83E77BDB}"/>
    <hyperlink ref="B36" r:id="rId33" xr:uid="{D3D2AD29-0A11-47BA-A2AC-0C22216808FF}"/>
    <hyperlink ref="B70" r:id="rId34" xr:uid="{C3A32662-BE97-4900-8115-258F2FF7AE50}"/>
    <hyperlink ref="B61" r:id="rId35" xr:uid="{180CB65C-D92D-4E1C-ABA8-359FA40387B4}"/>
    <hyperlink ref="B71" r:id="rId36" xr:uid="{582B8EDC-EE0A-49EF-A9CD-DE368F66754D}"/>
    <hyperlink ref="B128" r:id="rId37" xr:uid="{F3E6BE94-23A0-4CF6-AFB8-BFDEEDCEA773}"/>
    <hyperlink ref="B90" r:id="rId38" xr:uid="{125D42AF-3DCA-42AB-AA95-C6E53D21EEE9}"/>
    <hyperlink ref="B92" r:id="rId39" xr:uid="{DE61F9AE-E1B8-4A5D-BBA2-895B81CE7EB4}"/>
    <hyperlink ref="B72" r:id="rId40" xr:uid="{260ABC8D-0C32-4A5F-AD65-0B7AF96470E8}"/>
    <hyperlink ref="B73" r:id="rId41" xr:uid="{D944383B-5AD2-46FE-B90A-83FA25047529}"/>
    <hyperlink ref="B55" r:id="rId42" xr:uid="{9712698D-CCC4-4F72-A0CB-C6410E7D849D}"/>
    <hyperlink ref="B120" r:id="rId43" xr:uid="{347C3F41-8989-47D0-A866-B3B0C5760AE6}"/>
    <hyperlink ref="B121" r:id="rId44" xr:uid="{11F73209-D404-487A-B30D-C1E0E917D780}"/>
    <hyperlink ref="B118" r:id="rId45" xr:uid="{A0AB274B-502D-42F8-BEEB-88D354272F8A}"/>
    <hyperlink ref="B95" r:id="rId46" xr:uid="{86C2C832-97F8-401B-AC40-5850E9A65071}"/>
    <hyperlink ref="B124" r:id="rId47" xr:uid="{655DFCCA-5D04-4799-B836-7A8B6EC546A3}"/>
    <hyperlink ref="B125" r:id="rId48" xr:uid="{0FCDA665-59D5-4E89-AD08-F57EABD0F3AC}"/>
    <hyperlink ref="B107" r:id="rId49" location="im_iscomplex" xr:uid="{2AA941C4-01BE-4ED1-8B6F-A34D5157AB9F}"/>
    <hyperlink ref="B109" r:id="rId50" location="im_ctranspose" xr:uid="{AD95A9E1-7A9E-4320-B3E8-F89E44083AAD}"/>
    <hyperlink ref="B110" r:id="rId51" location="im_dot" xr:uid="{A85D5D0D-7C16-479F-8F6B-E47B86C131B6}"/>
    <hyperlink ref="B111" r:id="rId52" location="im_sumproduct" xr:uid="{BF5DD54F-4EFE-4DD1-B08E-7376CF99E962}"/>
    <hyperlink ref="B112" r:id="rId53" location="im_mmult" xr:uid="{E2A6CB94-1EA2-4D6C-A764-643F4A8048C4}"/>
    <hyperlink ref="B113" r:id="rId54" location="im_roundtozero" xr:uid="{335E9CB4-B419-439F-BE1F-29B6E595F84A}"/>
    <hyperlink ref="B114" r:id="rId55" location="im_round" xr:uid="{B6A7BBFF-B11F-44A4-89E0-27D2F6B739C8}"/>
    <hyperlink ref="B115" r:id="rId56" location="im_toarray" xr:uid="{C8BC9B43-2A76-4F8B-A7BE-C3ABB815F61F}"/>
    <hyperlink ref="B134" r:id="rId57" xr:uid="{4918AD6F-47A0-4AB5-9CDF-5455638583E9}"/>
    <hyperlink ref="B135" r:id="rId58" xr:uid="{23C3F6C7-1E70-4964-A9A1-12E6201869BE}"/>
    <hyperlink ref="B136" r:id="rId59" xr:uid="{F192FB23-272B-45A0-808B-EEE78C27FEFC}"/>
    <hyperlink ref="B137" r:id="rId60" xr:uid="{C612BB58-4171-4D7A-B271-0357F922327D}"/>
    <hyperlink ref="B53" r:id="rId61" xr:uid="{E9B8204F-D573-4646-ABC9-6ACF745FF979}"/>
    <hyperlink ref="B49" r:id="rId62" xr:uid="{62F057A3-8395-46E0-989E-00E4EE80D49F}"/>
    <hyperlink ref="B50" r:id="rId63" xr:uid="{D72D5CB4-828A-45A4-AE2A-709059E794BC}"/>
    <hyperlink ref="B79" r:id="rId64" xr:uid="{FDB7191D-DED4-43ED-8489-4C006453BD75}"/>
    <hyperlink ref="B74" r:id="rId65" xr:uid="{C71D9531-CD86-4945-9E10-7D53A57245DE}"/>
    <hyperlink ref="B93" r:id="rId66" xr:uid="{FE8C4CF4-E9A1-400D-8489-E67E057806C6}"/>
    <hyperlink ref="B108" r:id="rId67" xr:uid="{578E41CC-AEB9-43DC-8D8A-2FC288F157B6}"/>
    <hyperlink ref="B94" r:id="rId68" xr:uid="{697BBA1C-03F4-43A0-8822-FDA73833B470}"/>
    <hyperlink ref="B87" r:id="rId69" xr:uid="{0B8F1634-B194-4C2C-94DF-B064B430D42D}"/>
    <hyperlink ref="B38" r:id="rId70" xr:uid="{C819B47E-0DC8-45E0-A7D2-EB45FE5D298A}"/>
    <hyperlink ref="B100" r:id="rId71" xr:uid="{C6C46989-10DE-45C2-9979-F23264C8EA62}"/>
    <hyperlink ref="B101" r:id="rId72" xr:uid="{1DF8B87F-F5C2-4DAC-90A7-1B51C368F96E}"/>
    <hyperlink ref="B102" r:id="rId73" xr:uid="{FB1647CB-C360-4DC4-96CC-A94CDD5DF081}"/>
    <hyperlink ref="B103" r:id="rId74" xr:uid="{D88026F6-4A02-4926-AB5E-D7059CDF4FB0}"/>
    <hyperlink ref="B88" r:id="rId75" xr:uid="{CC7C86CC-C62D-4E5D-95AA-2B4757DB2230}"/>
    <hyperlink ref="B89" r:id="rId76" xr:uid="{7BEF183A-7198-448E-BCC9-87249C8BD031}"/>
    <hyperlink ref="B91" r:id="rId77" xr:uid="{DD3121FF-B5E2-474C-8BC9-86D13BD29C1B}"/>
    <hyperlink ref="B96" r:id="rId78" xr:uid="{9B559EED-34A0-4CD4-81CB-05BEBD472F56}"/>
    <hyperlink ref="B104" r:id="rId79" xr:uid="{707AAA4A-CC6A-435A-B3BF-04148B039B2E}"/>
    <hyperlink ref="B129" r:id="rId80" xr:uid="{F894672E-E10F-4B65-9199-C189B2116EF4}"/>
    <hyperlink ref="B130" r:id="rId81" xr:uid="{23110658-3752-4C66-BBD9-42336E9E0626}"/>
    <hyperlink ref="B141" r:id="rId82" xr:uid="{F0BB645E-FDF7-453C-BD38-8D613118989C}"/>
    <hyperlink ref="B97" r:id="rId83" xr:uid="{61735F5F-B64D-45E2-A49F-7CB5FF7EA3F9}"/>
    <hyperlink ref="B80" r:id="rId84" xr:uid="{74783C03-5A36-4CBF-9F12-0B34E22E7CA7}"/>
    <hyperlink ref="B81" r:id="rId85" xr:uid="{3EFEB52A-1EDA-4214-A9C8-8CF893B8251F}"/>
    <hyperlink ref="B142" r:id="rId86" xr:uid="{0296038C-5E83-4B96-A04E-F647B6B949A0}"/>
    <hyperlink ref="B143" r:id="rId87" xr:uid="{45525679-B770-4EC7-9C63-E6BE86FC1A36}"/>
    <hyperlink ref="B56" r:id="rId88" xr:uid="{569D5E20-291B-4D71-9311-DE2981538831}"/>
    <hyperlink ref="B39" r:id="rId89" xr:uid="{4F10FE46-0975-4DA2-9F08-F02404ABF5D3}"/>
    <hyperlink ref="B40" r:id="rId90" xr:uid="{B79EDEF9-0F2E-4944-8866-CA1676C41E8F}"/>
    <hyperlink ref="B47" r:id="rId91" xr:uid="{A9639927-65E7-4D4D-BFC7-077A76F6CF91}"/>
    <hyperlink ref="B131" r:id="rId92" xr:uid="{5904BFBB-D583-4B02-BB0B-CB6912D03D08}"/>
  </hyperlinks>
  <pageMargins left="0.7" right="0.7" top="0.75" bottom="0.75" header="0.3" footer="0.3"/>
  <pageSetup orientation="portrait" r:id="rId93"/>
  <drawing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0C4B-4E87-4D93-9110-F4D87422E6C8}">
  <dimension ref="A1:T187"/>
  <sheetViews>
    <sheetView showGridLines="0" workbookViewId="0"/>
  </sheetViews>
  <sheetFormatPr defaultRowHeight="15" x14ac:dyDescent="0.2"/>
  <cols>
    <col min="1" max="1" width="4.5" style="48" customWidth="1"/>
    <col min="2" max="11" width="11.125" style="7" customWidth="1"/>
    <col min="12" max="16384" width="9" style="7"/>
  </cols>
  <sheetData>
    <row r="1" spans="1:11" ht="36.950000000000003" customHeight="1" x14ac:dyDescent="0.2">
      <c r="A1" s="49"/>
      <c r="B1" s="2" t="s">
        <v>121</v>
      </c>
      <c r="C1" s="2"/>
      <c r="D1" s="2"/>
      <c r="E1" s="2"/>
      <c r="F1" s="2"/>
      <c r="G1" s="2"/>
      <c r="H1" s="2"/>
      <c r="I1" s="209" t="e" vm="1">
        <v>#VALUE!</v>
      </c>
      <c r="J1" s="209"/>
    </row>
    <row r="2" spans="1:11" ht="18" customHeight="1" x14ac:dyDescent="0.2">
      <c r="B2" s="46" t="s">
        <v>55</v>
      </c>
      <c r="J2" s="47" t="s">
        <v>909</v>
      </c>
    </row>
    <row r="3" spans="1:11" ht="18" customHeight="1" x14ac:dyDescent="0.2"/>
    <row r="4" spans="1:11" ht="18" customHeight="1" x14ac:dyDescent="0.2">
      <c r="B4" s="21" t="s">
        <v>85</v>
      </c>
    </row>
    <row r="5" spans="1:11" ht="18" customHeight="1" x14ac:dyDescent="0.2">
      <c r="B5" s="212" t="s">
        <v>86</v>
      </c>
      <c r="C5" s="212"/>
      <c r="D5" s="212"/>
      <c r="E5" s="212"/>
      <c r="F5" s="212"/>
      <c r="G5" s="212"/>
      <c r="H5" s="212"/>
      <c r="I5" s="212"/>
      <c r="J5" s="212"/>
    </row>
    <row r="6" spans="1:11" ht="18" customHeight="1" x14ac:dyDescent="0.2">
      <c r="B6" s="212"/>
      <c r="C6" s="212"/>
      <c r="D6" s="212"/>
      <c r="E6" s="212"/>
      <c r="F6" s="212"/>
      <c r="G6" s="212"/>
      <c r="H6" s="212"/>
      <c r="I6" s="212"/>
      <c r="J6" s="212"/>
    </row>
    <row r="7" spans="1:11" ht="18" customHeight="1" x14ac:dyDescent="0.2">
      <c r="B7" s="212"/>
      <c r="C7" s="212"/>
      <c r="D7" s="212"/>
      <c r="E7" s="212"/>
      <c r="F7" s="212"/>
      <c r="G7" s="212"/>
      <c r="H7" s="212"/>
      <c r="I7" s="212"/>
      <c r="J7" s="212"/>
    </row>
    <row r="10" spans="1:11" customFormat="1" ht="23.25" x14ac:dyDescent="0.2">
      <c r="A10" s="7" t="s">
        <v>6</v>
      </c>
      <c r="B10" s="12" t="s">
        <v>755</v>
      </c>
      <c r="C10" s="8"/>
      <c r="D10" s="8"/>
      <c r="E10" s="8"/>
      <c r="F10" s="8"/>
      <c r="G10" s="8"/>
      <c r="H10" s="8"/>
      <c r="I10" s="8"/>
      <c r="J10" s="8"/>
      <c r="K10" s="7"/>
    </row>
    <row r="11" spans="1:11" customFormat="1" ht="18" customHeight="1" x14ac:dyDescent="0.2">
      <c r="A11" s="7"/>
      <c r="B11" s="38" t="s">
        <v>294</v>
      </c>
      <c r="C11" s="7"/>
      <c r="D11" s="7"/>
      <c r="E11" s="7"/>
      <c r="F11" s="7"/>
      <c r="G11" s="7"/>
      <c r="H11" s="7"/>
      <c r="I11" s="7"/>
      <c r="J11" s="7"/>
      <c r="K11" s="7"/>
    </row>
    <row r="12" spans="1:11" x14ac:dyDescent="0.2">
      <c r="B12" s="41" t="s">
        <v>498</v>
      </c>
    </row>
    <row r="13" spans="1:11" x14ac:dyDescent="0.2">
      <c r="B13" s="7" t="s">
        <v>299</v>
      </c>
    </row>
    <row r="15" spans="1:11" x14ac:dyDescent="0.2">
      <c r="C15" s="39" t="s">
        <v>295</v>
      </c>
      <c r="D15" s="39" t="s">
        <v>296</v>
      </c>
      <c r="E15" s="39" t="s">
        <v>297</v>
      </c>
      <c r="F15"/>
      <c r="G15" s="40" t="s">
        <v>298</v>
      </c>
      <c r="H15"/>
      <c r="I15"/>
      <c r="J15"/>
    </row>
    <row r="16" spans="1:11" x14ac:dyDescent="0.2">
      <c r="C16" s="42">
        <v>12345600</v>
      </c>
      <c r="D16" s="42">
        <v>4</v>
      </c>
      <c r="E16" s="42">
        <v>0</v>
      </c>
      <c r="F16"/>
      <c r="G16" s="44" cm="1">
        <f t="array" ref="G16">L.SFROUND(C16,D16,E16)</f>
        <v>12350000</v>
      </c>
      <c r="H16"/>
      <c r="I16"/>
      <c r="J16"/>
    </row>
    <row r="17" spans="1:11" x14ac:dyDescent="0.2">
      <c r="C17" s="42">
        <v>12345600</v>
      </c>
      <c r="D17" s="42">
        <v>4</v>
      </c>
      <c r="E17" s="42">
        <v>-1</v>
      </c>
      <c r="F17"/>
      <c r="G17" s="44" cm="1">
        <f t="array" ref="G17">L.SFROUND(C17,D17,E17)</f>
        <v>12340000</v>
      </c>
      <c r="H17"/>
      <c r="I17"/>
      <c r="J17"/>
    </row>
    <row r="18" spans="1:11" x14ac:dyDescent="0.2">
      <c r="C18" s="42">
        <v>12345600</v>
      </c>
      <c r="D18" s="42">
        <v>4</v>
      </c>
      <c r="E18" s="42"/>
      <c r="F18"/>
      <c r="G18" s="44" cm="1">
        <f t="array" ref="G18">L.SFROUND(C18,D18,E18)</f>
        <v>12350000</v>
      </c>
      <c r="H18"/>
      <c r="I18"/>
      <c r="J18"/>
    </row>
    <row r="19" spans="1:11" x14ac:dyDescent="0.2">
      <c r="C19" s="42">
        <v>123000</v>
      </c>
      <c r="D19" s="42">
        <v>2</v>
      </c>
      <c r="E19" s="42">
        <v>1</v>
      </c>
      <c r="G19" s="44" cm="1">
        <f t="array" ref="G19">L.SFROUND(C19,D19,E19)</f>
        <v>130000</v>
      </c>
    </row>
    <row r="20" spans="1:11" x14ac:dyDescent="0.2">
      <c r="C20" s="42">
        <v>0</v>
      </c>
      <c r="D20" s="42">
        <v>2</v>
      </c>
      <c r="E20" s="42">
        <v>1</v>
      </c>
      <c r="G20" s="44" cm="1">
        <f t="array" ref="G20">L.SFROUND(C20,D20,E20)</f>
        <v>0</v>
      </c>
    </row>
    <row r="21" spans="1:11" x14ac:dyDescent="0.2">
      <c r="C21" s="42">
        <v>2145</v>
      </c>
      <c r="D21" s="42">
        <v>3</v>
      </c>
      <c r="E21" s="42"/>
      <c r="G21" s="44" cm="1">
        <f t="array" ref="G21">L.SFROUND(C21,D21,E21)</f>
        <v>2150</v>
      </c>
    </row>
    <row r="22" spans="1:11" x14ac:dyDescent="0.2">
      <c r="C22" s="42">
        <v>0.12345</v>
      </c>
      <c r="D22" s="42">
        <v>3</v>
      </c>
      <c r="E22" s="42"/>
      <c r="G22" s="44" cm="1">
        <f t="array" ref="G22">L.SFROUND(C22,D22,E22)</f>
        <v>0.123</v>
      </c>
    </row>
    <row r="25" spans="1:11" customFormat="1" ht="23.25" x14ac:dyDescent="0.2">
      <c r="A25" s="7" t="s">
        <v>6</v>
      </c>
      <c r="B25" s="12" t="s">
        <v>754</v>
      </c>
      <c r="C25" s="8"/>
      <c r="D25" s="8"/>
      <c r="E25" s="8"/>
      <c r="F25" s="8"/>
      <c r="G25" s="8"/>
      <c r="H25" s="8"/>
      <c r="I25" s="8"/>
      <c r="J25" s="8"/>
      <c r="K25" s="7"/>
    </row>
    <row r="26" spans="1:11" customFormat="1" ht="18" customHeight="1" x14ac:dyDescent="0.2">
      <c r="A26" s="7"/>
      <c r="B26" s="38" t="s">
        <v>617</v>
      </c>
      <c r="C26" s="7"/>
      <c r="D26" s="7"/>
      <c r="E26" s="7"/>
      <c r="F26" s="7"/>
      <c r="G26" s="7"/>
      <c r="H26" s="7"/>
      <c r="I26" s="7"/>
      <c r="J26" s="7"/>
      <c r="K26" s="7"/>
    </row>
    <row r="27" spans="1:11" customFormat="1" ht="18" customHeight="1" x14ac:dyDescent="0.2">
      <c r="A27" s="7"/>
      <c r="B27" s="41" t="s">
        <v>616</v>
      </c>
      <c r="C27" s="7"/>
      <c r="D27" s="7"/>
      <c r="E27" s="7"/>
      <c r="F27" s="7"/>
      <c r="G27" s="7"/>
      <c r="H27" s="7"/>
      <c r="I27" s="7"/>
      <c r="J27" s="7"/>
      <c r="K27" s="7"/>
    </row>
    <row r="29" spans="1:11" x14ac:dyDescent="0.2">
      <c r="C29" s="39" t="s">
        <v>584</v>
      </c>
      <c r="D29" s="39"/>
      <c r="F29" s="56" t="s">
        <v>615</v>
      </c>
      <c r="G29" s="40"/>
    </row>
    <row r="30" spans="1:11" x14ac:dyDescent="0.2">
      <c r="C30" s="42">
        <v>1</v>
      </c>
      <c r="D30" s="42">
        <v>10</v>
      </c>
      <c r="F30" s="45" cm="1">
        <f t="array" ref="F30:G36">L.CUMULATIVESUM(C30:D36)</f>
        <v>1</v>
      </c>
      <c r="G30" s="45">
        <v>10</v>
      </c>
    </row>
    <row r="31" spans="1:11" x14ac:dyDescent="0.2">
      <c r="C31" s="42">
        <v>2</v>
      </c>
      <c r="D31" s="42">
        <v>20</v>
      </c>
      <c r="F31" s="45">
        <v>3</v>
      </c>
      <c r="G31" s="45">
        <v>30</v>
      </c>
    </row>
    <row r="32" spans="1:11" x14ac:dyDescent="0.2">
      <c r="C32" s="42">
        <v>3</v>
      </c>
      <c r="D32" s="42">
        <v>30</v>
      </c>
      <c r="F32" s="45">
        <v>6</v>
      </c>
      <c r="G32" s="45">
        <v>60</v>
      </c>
    </row>
    <row r="33" spans="1:11" x14ac:dyDescent="0.2">
      <c r="C33" s="42">
        <v>4</v>
      </c>
      <c r="D33" s="42">
        <v>40</v>
      </c>
      <c r="F33" s="45">
        <v>10</v>
      </c>
      <c r="G33" s="45">
        <v>100</v>
      </c>
    </row>
    <row r="34" spans="1:11" x14ac:dyDescent="0.2">
      <c r="C34" s="42">
        <v>5</v>
      </c>
      <c r="D34" s="42">
        <v>50</v>
      </c>
      <c r="F34" s="45">
        <v>15</v>
      </c>
      <c r="G34" s="45">
        <v>150</v>
      </c>
    </row>
    <row r="35" spans="1:11" x14ac:dyDescent="0.2">
      <c r="C35" s="42">
        <v>6</v>
      </c>
      <c r="D35" s="42">
        <v>60</v>
      </c>
      <c r="F35" s="45">
        <v>21</v>
      </c>
      <c r="G35" s="45">
        <v>210</v>
      </c>
    </row>
    <row r="36" spans="1:11" x14ac:dyDescent="0.2">
      <c r="C36" s="42">
        <v>7</v>
      </c>
      <c r="D36" s="42">
        <v>70</v>
      </c>
      <c r="F36" s="45">
        <v>28</v>
      </c>
      <c r="G36" s="45">
        <v>280</v>
      </c>
    </row>
    <row r="38" spans="1:11" customFormat="1" ht="23.25" x14ac:dyDescent="0.2">
      <c r="A38" s="7" t="s">
        <v>6</v>
      </c>
      <c r="B38" s="12" t="s">
        <v>753</v>
      </c>
      <c r="C38" s="8"/>
      <c r="D38" s="8"/>
      <c r="E38" s="8"/>
      <c r="F38" s="8"/>
      <c r="G38" s="8"/>
      <c r="H38" s="8"/>
      <c r="I38" s="8"/>
      <c r="J38" s="8"/>
      <c r="K38" s="7"/>
    </row>
    <row r="39" spans="1:11" customFormat="1" ht="18" customHeight="1" x14ac:dyDescent="0.2">
      <c r="A39" s="7"/>
      <c r="B39" s="38" t="s">
        <v>300</v>
      </c>
      <c r="C39" s="7"/>
      <c r="D39" s="7"/>
      <c r="E39" s="7"/>
      <c r="F39" s="7"/>
      <c r="G39" s="7"/>
      <c r="H39" s="7"/>
      <c r="I39" s="7"/>
      <c r="J39" s="7"/>
      <c r="K39" s="7"/>
    </row>
    <row r="40" spans="1:11" x14ac:dyDescent="0.2">
      <c r="B40" s="41" t="s">
        <v>499</v>
      </c>
    </row>
    <row r="42" spans="1:11" x14ac:dyDescent="0.2">
      <c r="C42" s="39" t="s">
        <v>301</v>
      </c>
      <c r="D42" s="39" t="s">
        <v>302</v>
      </c>
      <c r="F42" s="40" t="s">
        <v>303</v>
      </c>
    </row>
    <row r="43" spans="1:11" x14ac:dyDescent="0.2">
      <c r="C43" s="42">
        <v>546</v>
      </c>
      <c r="D43" s="42" t="str">
        <f>ROMAN(C43)</f>
        <v>DXLVI</v>
      </c>
      <c r="F43" s="45" cm="1">
        <f t="array" ref="F43">L.ROMAN2INT(D43)</f>
        <v>546</v>
      </c>
      <c r="H43" s="45"/>
      <c r="I43" s="45"/>
    </row>
    <row r="44" spans="1:11" x14ac:dyDescent="0.2">
      <c r="C44" s="42">
        <v>324</v>
      </c>
      <c r="D44" s="42" t="str">
        <f t="shared" ref="D44:D47" si="0">ROMAN(C44)</f>
        <v>CCCXXIV</v>
      </c>
      <c r="F44" s="45" cm="1">
        <f t="array" ref="F44">L.ROMAN2INT(D44)</f>
        <v>324</v>
      </c>
      <c r="H44" s="45"/>
      <c r="I44" s="45"/>
    </row>
    <row r="45" spans="1:11" x14ac:dyDescent="0.2">
      <c r="C45" s="42">
        <v>127</v>
      </c>
      <c r="D45" s="42" t="str">
        <f t="shared" si="0"/>
        <v>CXXVII</v>
      </c>
      <c r="F45" s="45" cm="1">
        <f t="array" ref="F45">L.ROMAN2INT(D45)</f>
        <v>127</v>
      </c>
      <c r="H45" s="45"/>
      <c r="I45" s="45"/>
    </row>
    <row r="46" spans="1:11" x14ac:dyDescent="0.2">
      <c r="C46" s="42">
        <v>440</v>
      </c>
      <c r="D46" s="42" t="str">
        <f t="shared" si="0"/>
        <v>CDXL</v>
      </c>
      <c r="F46" s="45" cm="1">
        <f t="array" ref="F46">L.ROMAN2INT(D46)</f>
        <v>440</v>
      </c>
    </row>
    <row r="47" spans="1:11" x14ac:dyDescent="0.2">
      <c r="C47" s="42">
        <v>42</v>
      </c>
      <c r="D47" s="42" t="str">
        <f t="shared" si="0"/>
        <v>XLII</v>
      </c>
      <c r="F47" s="45" cm="1">
        <f t="array" ref="F47">L.ROMAN2INT(D47)</f>
        <v>42</v>
      </c>
      <c r="G47"/>
    </row>
    <row r="48" spans="1:11" x14ac:dyDescent="0.2">
      <c r="G48"/>
    </row>
    <row r="50" spans="1:15" customFormat="1" ht="23.25" x14ac:dyDescent="0.2">
      <c r="A50" s="7" t="s">
        <v>6</v>
      </c>
      <c r="B50" s="12" t="s">
        <v>752</v>
      </c>
      <c r="C50" s="8"/>
      <c r="D50" s="8"/>
      <c r="E50" s="8"/>
      <c r="F50" s="8"/>
      <c r="G50" s="8"/>
      <c r="H50" s="8"/>
      <c r="I50" s="8"/>
      <c r="J50" s="8"/>
      <c r="K50" s="7"/>
    </row>
    <row r="51" spans="1:15" customFormat="1" ht="18" customHeight="1" x14ac:dyDescent="0.2">
      <c r="A51" s="7"/>
      <c r="B51" s="38" t="s">
        <v>304</v>
      </c>
      <c r="C51" s="7"/>
      <c r="D51" s="7"/>
      <c r="E51" s="7"/>
      <c r="F51" s="7"/>
      <c r="G51" s="7"/>
      <c r="H51" s="7"/>
      <c r="I51" s="7"/>
      <c r="J51" s="7"/>
      <c r="K51" s="7"/>
    </row>
    <row r="52" spans="1:15" x14ac:dyDescent="0.2">
      <c r="B52" s="41" t="s">
        <v>641</v>
      </c>
    </row>
    <row r="54" spans="1:15" x14ac:dyDescent="0.2">
      <c r="C54" s="39" t="s">
        <v>306</v>
      </c>
    </row>
    <row r="55" spans="1:15" x14ac:dyDescent="0.2">
      <c r="C55" s="148" t="s">
        <v>823</v>
      </c>
    </row>
    <row r="57" spans="1:15" x14ac:dyDescent="0.2">
      <c r="C57" s="40" t="s">
        <v>305</v>
      </c>
      <c r="D57" s="45" t="str" cm="1">
        <f t="array" ref="D57:N57">L.TEXT2ARRAY(C55)</f>
        <v>H</v>
      </c>
      <c r="E57" s="45" t="str">
        <v>e</v>
      </c>
      <c r="F57" s="45" t="str">
        <v>l</v>
      </c>
      <c r="G57" s="45" t="str">
        <v>l</v>
      </c>
      <c r="H57" s="45" t="str">
        <v>o</v>
      </c>
      <c r="I57" s="45" t="str">
        <v>😃</v>
      </c>
      <c r="J57" s="45" t="str">
        <v>W</v>
      </c>
      <c r="K57" s="45" t="str">
        <v>o</v>
      </c>
      <c r="L57" s="45" t="str">
        <v>r</v>
      </c>
      <c r="M57" s="45" t="str">
        <v>l</v>
      </c>
      <c r="N57" s="45" t="str">
        <v>d</v>
      </c>
    </row>
    <row r="61" spans="1:15" x14ac:dyDescent="0.2">
      <c r="C61" s="39" t="s">
        <v>306</v>
      </c>
      <c r="E61" s="40" t="s">
        <v>305</v>
      </c>
      <c r="G61" s="45"/>
      <c r="H61" s="45"/>
      <c r="I61" s="45"/>
    </row>
    <row r="62" spans="1:15" x14ac:dyDescent="0.2">
      <c r="C62" s="42" t="s">
        <v>824</v>
      </c>
      <c r="E62" s="45" t="str" cm="1">
        <f t="array" ref="E62:E66">L.TEXT2ARRAY(C62,C64)</f>
        <v>H</v>
      </c>
      <c r="F62" s="45"/>
      <c r="G62" s="45"/>
      <c r="H62" s="45"/>
      <c r="I62" s="45"/>
      <c r="J62" s="45"/>
      <c r="K62" s="45"/>
      <c r="L62" s="45"/>
      <c r="M62" s="45"/>
      <c r="N62" s="45"/>
      <c r="O62" s="45"/>
    </row>
    <row r="63" spans="1:15" x14ac:dyDescent="0.2">
      <c r="C63" s="39" t="s">
        <v>307</v>
      </c>
      <c r="E63" s="45" t="str">
        <v>e</v>
      </c>
      <c r="F63" s="45"/>
      <c r="G63" s="45"/>
      <c r="H63" s="45"/>
      <c r="I63" s="45"/>
      <c r="J63" s="45"/>
      <c r="K63" s="45"/>
      <c r="L63" s="45"/>
      <c r="M63" s="45"/>
      <c r="N63" s="45"/>
      <c r="O63" s="45"/>
    </row>
    <row r="64" spans="1:15" x14ac:dyDescent="0.2">
      <c r="C64" s="42">
        <v>2</v>
      </c>
      <c r="E64" s="45" t="str">
        <v>l</v>
      </c>
      <c r="F64" s="45"/>
      <c r="G64" s="45"/>
      <c r="H64" s="45"/>
      <c r="I64" s="45"/>
      <c r="J64" s="45"/>
      <c r="K64" s="45"/>
      <c r="L64" s="45"/>
      <c r="M64" s="45"/>
      <c r="N64" s="45"/>
      <c r="O64" s="45"/>
    </row>
    <row r="65" spans="2:20" x14ac:dyDescent="0.2">
      <c r="E65" s="45" t="str">
        <v>l</v>
      </c>
      <c r="F65" s="45"/>
      <c r="G65" s="45"/>
      <c r="H65" s="45"/>
      <c r="I65" s="45"/>
      <c r="J65" s="45"/>
      <c r="K65" s="45"/>
      <c r="L65" s="45"/>
      <c r="M65" s="45"/>
      <c r="N65" s="45"/>
      <c r="O65" s="45"/>
    </row>
    <row r="66" spans="2:20" x14ac:dyDescent="0.2">
      <c r="E66" s="45" t="str">
        <v>o</v>
      </c>
      <c r="F66" s="45"/>
      <c r="G66" s="45"/>
      <c r="H66" s="45"/>
      <c r="I66" s="45"/>
      <c r="J66" s="45"/>
      <c r="K66" s="45"/>
      <c r="L66" s="45"/>
      <c r="M66" s="45"/>
      <c r="N66" s="45"/>
      <c r="O66" s="45"/>
    </row>
    <row r="67" spans="2:20" x14ac:dyDescent="0.2">
      <c r="E67" s="45"/>
      <c r="F67" s="45"/>
      <c r="G67" s="45"/>
      <c r="H67" s="45"/>
      <c r="I67" s="45"/>
      <c r="J67" s="45"/>
      <c r="K67" s="45"/>
      <c r="L67" s="45"/>
      <c r="M67" s="45"/>
      <c r="N67" s="45"/>
      <c r="O67" s="45"/>
    </row>
    <row r="68" spans="2:20" x14ac:dyDescent="0.2">
      <c r="C68" s="45"/>
      <c r="D68" s="45"/>
      <c r="E68" s="45"/>
      <c r="F68" s="45"/>
      <c r="G68" s="45"/>
      <c r="H68" s="20"/>
      <c r="I68" s="45"/>
      <c r="J68" s="45"/>
      <c r="K68" s="45"/>
      <c r="L68" s="45"/>
      <c r="M68" s="45"/>
      <c r="N68" s="45"/>
      <c r="O68" s="45"/>
    </row>
    <row r="69" spans="2:20" x14ac:dyDescent="0.2">
      <c r="C69" s="39" t="s">
        <v>306</v>
      </c>
      <c r="D69" s="45"/>
      <c r="E69" s="40" t="s">
        <v>305</v>
      </c>
      <c r="G69" s="45"/>
      <c r="H69" s="45"/>
    </row>
    <row r="70" spans="2:20" x14ac:dyDescent="0.2">
      <c r="C70" s="42" t="s">
        <v>644</v>
      </c>
      <c r="D70" s="45"/>
      <c r="E70" s="45" t="str" cm="1">
        <f t="array" ref="E70:T74">L.TEXT2ARRAY(C70:C74)</f>
        <v>H</v>
      </c>
      <c r="F70" s="45" t="str">
        <v>i</v>
      </c>
      <c r="G70" s="45" t="str">
        <v/>
      </c>
      <c r="H70" s="45" t="str">
        <v/>
      </c>
      <c r="I70" s="45" t="str">
        <v/>
      </c>
      <c r="J70" s="45" t="str">
        <v/>
      </c>
      <c r="K70" s="45" t="str">
        <v/>
      </c>
      <c r="L70" s="45" t="str">
        <v/>
      </c>
      <c r="M70" s="45" t="str">
        <v/>
      </c>
      <c r="N70" s="45" t="str">
        <v/>
      </c>
      <c r="O70" s="45" t="str">
        <v/>
      </c>
      <c r="P70" s="7" t="str">
        <v/>
      </c>
      <c r="Q70" s="7" t="str">
        <v/>
      </c>
      <c r="R70" s="7" t="str">
        <v/>
      </c>
      <c r="S70" s="7" t="str">
        <v/>
      </c>
      <c r="T70" s="7" t="str">
        <v/>
      </c>
    </row>
    <row r="71" spans="2:20" x14ac:dyDescent="0.2">
      <c r="C71" s="42">
        <v>42.3</v>
      </c>
      <c r="D71" s="45"/>
      <c r="E71" s="45" t="str">
        <v>4</v>
      </c>
      <c r="F71" s="45" t="str">
        <v>2</v>
      </c>
      <c r="G71" s="45" t="str">
        <v>.</v>
      </c>
      <c r="H71" s="45" t="str">
        <v>3</v>
      </c>
      <c r="I71" s="45" t="str">
        <v/>
      </c>
      <c r="J71" s="45" t="str">
        <v/>
      </c>
      <c r="K71" s="45" t="str">
        <v/>
      </c>
      <c r="L71" s="45" t="str">
        <v/>
      </c>
      <c r="M71" s="45" t="str">
        <v/>
      </c>
      <c r="N71" s="45" t="str">
        <v/>
      </c>
      <c r="O71" s="45" t="str">
        <v/>
      </c>
      <c r="P71" s="7" t="str">
        <v/>
      </c>
      <c r="Q71" s="7" t="str">
        <v/>
      </c>
      <c r="R71" s="7" t="str">
        <v/>
      </c>
      <c r="S71" s="7" t="str">
        <v/>
      </c>
      <c r="T71" s="7" t="str">
        <v/>
      </c>
    </row>
    <row r="72" spans="2:20" x14ac:dyDescent="0.2">
      <c r="B72" s="16" t="s">
        <v>646</v>
      </c>
      <c r="C72" s="42"/>
      <c r="D72" s="45"/>
      <c r="E72" s="45" t="str">
        <v/>
      </c>
      <c r="F72" s="45" t="str">
        <v/>
      </c>
      <c r="G72" s="45" t="str">
        <v/>
      </c>
      <c r="H72" s="45" t="str">
        <v/>
      </c>
      <c r="I72" s="45" t="str">
        <v/>
      </c>
      <c r="J72" s="45" t="str">
        <v/>
      </c>
      <c r="K72" s="45" t="str">
        <v/>
      </c>
      <c r="L72" s="45" t="str">
        <v/>
      </c>
      <c r="M72" s="45" t="str">
        <v/>
      </c>
      <c r="N72" s="45" t="str">
        <v/>
      </c>
      <c r="O72" s="45" t="str">
        <v/>
      </c>
      <c r="P72" s="7" t="str">
        <v/>
      </c>
      <c r="Q72" s="7" t="str">
        <v/>
      </c>
      <c r="R72" s="7" t="str">
        <v/>
      </c>
      <c r="S72" s="7" t="str">
        <v/>
      </c>
      <c r="T72" s="7" t="str">
        <v/>
      </c>
    </row>
    <row r="73" spans="2:20" x14ac:dyDescent="0.2">
      <c r="B73" s="16" t="s">
        <v>647</v>
      </c>
      <c r="C73" s="129">
        <f>PI()</f>
        <v>3.1415926535897931</v>
      </c>
      <c r="D73" s="45"/>
      <c r="E73" s="45" t="str">
        <v>3</v>
      </c>
      <c r="F73" s="45" t="str">
        <v>.</v>
      </c>
      <c r="G73" s="45" t="str">
        <v>1</v>
      </c>
      <c r="H73" s="45" t="str">
        <v>4</v>
      </c>
      <c r="I73" s="45" t="str">
        <v>1</v>
      </c>
      <c r="J73" s="45" t="str">
        <v>5</v>
      </c>
      <c r="K73" s="45" t="str">
        <v>9</v>
      </c>
      <c r="L73" s="45" t="str">
        <v>2</v>
      </c>
      <c r="M73" s="45" t="str">
        <v>6</v>
      </c>
      <c r="N73" s="45" t="str">
        <v>5</v>
      </c>
      <c r="O73" s="45" t="str">
        <v>3</v>
      </c>
      <c r="P73" s="7" t="str">
        <v>5</v>
      </c>
      <c r="Q73" s="7" t="str">
        <v>8</v>
      </c>
      <c r="R73" s="7" t="str">
        <v>9</v>
      </c>
      <c r="S73" s="7" t="str">
        <v>7</v>
      </c>
      <c r="T73" s="7" t="str">
        <v>9</v>
      </c>
    </row>
    <row r="74" spans="2:20" x14ac:dyDescent="0.2">
      <c r="C74" s="42" t="s">
        <v>643</v>
      </c>
      <c r="D74" s="45"/>
      <c r="E74" s="45" t="str">
        <v>W</v>
      </c>
      <c r="F74" s="45" t="str">
        <v>o</v>
      </c>
      <c r="G74" s="45" t="str">
        <v>r</v>
      </c>
      <c r="H74" s="45" t="str">
        <v>l</v>
      </c>
      <c r="I74" s="45" t="str">
        <v>d</v>
      </c>
      <c r="J74" s="45" t="str">
        <v/>
      </c>
      <c r="K74" s="45" t="str">
        <v/>
      </c>
      <c r="L74" s="45" t="str">
        <v/>
      </c>
      <c r="M74" s="45" t="str">
        <v/>
      </c>
      <c r="N74" s="45" t="str">
        <v/>
      </c>
      <c r="O74" s="45" t="str">
        <v/>
      </c>
      <c r="P74" s="7" t="str">
        <v/>
      </c>
      <c r="Q74" s="7" t="str">
        <v/>
      </c>
      <c r="R74" s="7" t="str">
        <v/>
      </c>
      <c r="S74" s="7" t="str">
        <v/>
      </c>
      <c r="T74" s="7" t="str">
        <v/>
      </c>
    </row>
    <row r="75" spans="2:20" x14ac:dyDescent="0.2">
      <c r="C75" s="45"/>
      <c r="D75" s="45"/>
      <c r="E75" s="45"/>
      <c r="F75" s="45"/>
      <c r="G75" s="45"/>
      <c r="H75" s="45"/>
      <c r="I75" s="45"/>
      <c r="J75" s="45"/>
      <c r="K75" s="45"/>
      <c r="L75" s="45"/>
      <c r="M75" s="45"/>
      <c r="N75" s="45"/>
      <c r="O75" s="45"/>
    </row>
    <row r="76" spans="2:20" x14ac:dyDescent="0.2">
      <c r="C76" s="45"/>
      <c r="D76" s="45"/>
      <c r="E76" s="45"/>
      <c r="F76" s="45"/>
      <c r="G76" s="45"/>
      <c r="H76" s="45"/>
      <c r="I76" s="45"/>
      <c r="J76" s="45"/>
      <c r="K76" s="45"/>
      <c r="L76" s="45"/>
      <c r="M76" s="45"/>
      <c r="N76" s="45"/>
      <c r="O76" s="45"/>
    </row>
    <row r="77" spans="2:20" x14ac:dyDescent="0.2">
      <c r="C77" s="39" t="s">
        <v>306</v>
      </c>
      <c r="D77" s="45"/>
      <c r="E77" s="45"/>
    </row>
    <row r="78" spans="2:20" x14ac:dyDescent="0.2">
      <c r="C78" s="42" t="s">
        <v>644</v>
      </c>
      <c r="D78" s="42">
        <v>42.3</v>
      </c>
      <c r="E78" s="42" t="s">
        <v>643</v>
      </c>
    </row>
    <row r="79" spans="2:20" x14ac:dyDescent="0.2">
      <c r="D79" s="45"/>
      <c r="E79" s="45"/>
    </row>
    <row r="80" spans="2:20" x14ac:dyDescent="0.2">
      <c r="C80" s="40" t="s">
        <v>305</v>
      </c>
      <c r="D80" s="45" t="s">
        <v>645</v>
      </c>
      <c r="E80" s="45"/>
    </row>
    <row r="81" spans="1:11" x14ac:dyDescent="0.2">
      <c r="C81" s="45" t="str" cm="1">
        <f t="array" ref="C81:E85">L.TEXT2ARRAY(C78:E78,2)</f>
        <v>H</v>
      </c>
      <c r="D81" s="45" t="str">
        <v>4</v>
      </c>
      <c r="E81" s="45" t="str">
        <v>W</v>
      </c>
    </row>
    <row r="82" spans="1:11" x14ac:dyDescent="0.2">
      <c r="C82" s="45" t="str">
        <v>i</v>
      </c>
      <c r="D82" s="45" t="str">
        <v>2</v>
      </c>
      <c r="E82" s="45" t="str">
        <v>o</v>
      </c>
    </row>
    <row r="83" spans="1:11" x14ac:dyDescent="0.2">
      <c r="C83" s="45" t="str">
        <v/>
      </c>
      <c r="D83" s="45" t="str">
        <v>.</v>
      </c>
      <c r="E83" s="45" t="str">
        <v>r</v>
      </c>
    </row>
    <row r="84" spans="1:11" x14ac:dyDescent="0.2">
      <c r="C84" s="45" t="str">
        <v/>
      </c>
      <c r="D84" s="45" t="str">
        <v>3</v>
      </c>
      <c r="E84" s="45" t="str">
        <v>l</v>
      </c>
    </row>
    <row r="85" spans="1:11" x14ac:dyDescent="0.2">
      <c r="C85" s="45" t="str">
        <v/>
      </c>
      <c r="D85" s="45" t="str">
        <v/>
      </c>
      <c r="E85" s="45" t="str">
        <v>d</v>
      </c>
    </row>
    <row r="86" spans="1:11" x14ac:dyDescent="0.2">
      <c r="C86" s="45"/>
      <c r="D86" s="45"/>
      <c r="E86" s="45"/>
    </row>
    <row r="87" spans="1:11" x14ac:dyDescent="0.2">
      <c r="C87" s="57" t="s">
        <v>825</v>
      </c>
      <c r="D87" s="45"/>
      <c r="E87" s="45"/>
      <c r="F87" s="45"/>
    </row>
    <row r="88" spans="1:11" x14ac:dyDescent="0.2">
      <c r="D88" s="149" t="s">
        <v>826</v>
      </c>
      <c r="E88" s="72" t="s">
        <v>827</v>
      </c>
      <c r="F88" s="110">
        <f>LEN(D88)</f>
        <v>2</v>
      </c>
    </row>
    <row r="89" spans="1:11" x14ac:dyDescent="0.2">
      <c r="D89" s="20" t="s">
        <v>828</v>
      </c>
      <c r="E89" s="45"/>
      <c r="F89" s="45"/>
      <c r="H89" s="46" t="s">
        <v>829</v>
      </c>
    </row>
    <row r="90" spans="1:11" x14ac:dyDescent="0.2">
      <c r="D90" s="20" t="s">
        <v>830</v>
      </c>
      <c r="E90" s="45"/>
      <c r="F90" s="45"/>
      <c r="G90" s="46"/>
    </row>
    <row r="92" spans="1:11" customFormat="1" ht="23.25" x14ac:dyDescent="0.2">
      <c r="A92" s="7" t="s">
        <v>6</v>
      </c>
      <c r="B92" s="12" t="s">
        <v>751</v>
      </c>
      <c r="C92" s="8"/>
      <c r="D92" s="8"/>
      <c r="E92" s="8"/>
      <c r="F92" s="8"/>
      <c r="G92" s="8"/>
      <c r="H92" s="8"/>
      <c r="I92" s="8"/>
      <c r="J92" s="8"/>
      <c r="K92" s="7"/>
    </row>
    <row r="93" spans="1:11" customFormat="1" ht="18" customHeight="1" x14ac:dyDescent="0.2">
      <c r="A93" s="7"/>
      <c r="B93" s="38" t="s">
        <v>309</v>
      </c>
      <c r="C93" s="7"/>
      <c r="D93" s="7"/>
      <c r="E93" s="7"/>
      <c r="F93" s="7"/>
      <c r="G93" s="7"/>
      <c r="H93" s="7"/>
      <c r="I93" s="7"/>
      <c r="J93" s="7"/>
      <c r="K93" s="7"/>
    </row>
    <row r="94" spans="1:11" x14ac:dyDescent="0.2">
      <c r="B94" s="41" t="s">
        <v>500</v>
      </c>
    </row>
    <row r="96" spans="1:11" x14ac:dyDescent="0.2">
      <c r="C96" s="39" t="s">
        <v>310</v>
      </c>
      <c r="D96" s="39" t="s">
        <v>311</v>
      </c>
      <c r="F96" s="40" t="s">
        <v>315</v>
      </c>
    </row>
    <row r="97" spans="2:6" x14ac:dyDescent="0.2">
      <c r="C97" s="97" t="s">
        <v>312</v>
      </c>
      <c r="D97" s="42" t="s">
        <v>125</v>
      </c>
      <c r="F97" s="45" cm="1">
        <f t="array" ref="F97">L.COUNTCHAR(D97,C97)</f>
        <v>0</v>
      </c>
    </row>
    <row r="98" spans="2:6" x14ac:dyDescent="0.2">
      <c r="C98" s="97" t="s">
        <v>312</v>
      </c>
      <c r="D98" s="42" t="s">
        <v>89</v>
      </c>
      <c r="F98" s="45" cm="1">
        <f t="array" ref="F98">L.COUNTCHAR(D98,C98)</f>
        <v>2</v>
      </c>
    </row>
    <row r="99" spans="2:6" x14ac:dyDescent="0.2">
      <c r="C99" s="97" t="s">
        <v>314</v>
      </c>
      <c r="D99" s="42" t="s">
        <v>313</v>
      </c>
      <c r="F99" s="45" cm="1">
        <f t="array" ref="F99">L.COUNTCHAR(D99,C99)</f>
        <v>0</v>
      </c>
    </row>
    <row r="100" spans="2:6" x14ac:dyDescent="0.2">
      <c r="C100" s="97" t="s">
        <v>308</v>
      </c>
      <c r="D100" s="42" t="s">
        <v>316</v>
      </c>
      <c r="F100" s="45" cm="1">
        <f t="array" ref="F100">L.COUNTCHAR(D100,C100)</f>
        <v>2</v>
      </c>
    </row>
    <row r="102" spans="2:6" x14ac:dyDescent="0.2">
      <c r="B102" s="41" t="s">
        <v>640</v>
      </c>
    </row>
    <row r="104" spans="2:6" x14ac:dyDescent="0.2">
      <c r="C104" s="39" t="s">
        <v>306</v>
      </c>
      <c r="D104" s="7" t="s">
        <v>639</v>
      </c>
    </row>
    <row r="106" spans="2:6" x14ac:dyDescent="0.2">
      <c r="C106" s="40" t="s">
        <v>97</v>
      </c>
    </row>
    <row r="107" spans="2:6" x14ac:dyDescent="0.2">
      <c r="C107" s="110" t="str" cm="1">
        <f t="array" ref="C107:D121">_xlfn.LET(_xlpm.within_text, "This is a sentence with seven words",
    _xlpm.unique_chars, _xlfn.UNIQUE(L.TEXT2ARRAY(_xlpm.within_text,2)),
    _xlpm.counts, L.COUNTCHAR(_xlpm.unique_chars,_xlpm.within_text),
    _xlfn._xlws.SORT(_xlfn.VSTACK({"Characters","Count"},_xlfn.HSTACK(_xlpm.unique_chars,_xlpm.counts)),2,-1)
)</f>
        <v>Characters</v>
      </c>
      <c r="D107" s="110" t="str">
        <v>Count</v>
      </c>
    </row>
    <row r="108" spans="2:6" x14ac:dyDescent="0.2">
      <c r="C108" s="45" t="str">
        <v xml:space="preserve"> </v>
      </c>
      <c r="D108" s="45">
        <v>6</v>
      </c>
    </row>
    <row r="109" spans="2:6" x14ac:dyDescent="0.2">
      <c r="C109" s="45" t="str">
        <v>s</v>
      </c>
      <c r="D109" s="45">
        <v>5</v>
      </c>
    </row>
    <row r="110" spans="2:6" x14ac:dyDescent="0.2">
      <c r="C110" s="45" t="str">
        <v>e</v>
      </c>
      <c r="D110" s="45">
        <v>5</v>
      </c>
    </row>
    <row r="111" spans="2:6" x14ac:dyDescent="0.2">
      <c r="C111" s="45" t="str">
        <v>i</v>
      </c>
      <c r="D111" s="45">
        <v>3</v>
      </c>
    </row>
    <row r="112" spans="2:6" x14ac:dyDescent="0.2">
      <c r="C112" s="45" t="str">
        <v>n</v>
      </c>
      <c r="D112" s="45">
        <v>3</v>
      </c>
    </row>
    <row r="113" spans="1:11" x14ac:dyDescent="0.2">
      <c r="C113" s="45" t="str">
        <v>h</v>
      </c>
      <c r="D113" s="45">
        <v>2</v>
      </c>
    </row>
    <row r="114" spans="1:11" x14ac:dyDescent="0.2">
      <c r="C114" s="45" t="str">
        <v>w</v>
      </c>
      <c r="D114" s="45">
        <v>2</v>
      </c>
    </row>
    <row r="115" spans="1:11" x14ac:dyDescent="0.2">
      <c r="C115" s="45" t="str">
        <v>T</v>
      </c>
      <c r="D115" s="45">
        <v>1</v>
      </c>
    </row>
    <row r="116" spans="1:11" x14ac:dyDescent="0.2">
      <c r="C116" s="45" t="str">
        <v>a</v>
      </c>
      <c r="D116" s="45">
        <v>1</v>
      </c>
    </row>
    <row r="117" spans="1:11" x14ac:dyDescent="0.2">
      <c r="C117" s="45" t="str">
        <v>c</v>
      </c>
      <c r="D117" s="45">
        <v>1</v>
      </c>
    </row>
    <row r="118" spans="1:11" x14ac:dyDescent="0.2">
      <c r="C118" s="45" t="str">
        <v>v</v>
      </c>
      <c r="D118" s="45">
        <v>1</v>
      </c>
    </row>
    <row r="119" spans="1:11" x14ac:dyDescent="0.2">
      <c r="C119" s="45" t="str">
        <v>o</v>
      </c>
      <c r="D119" s="45">
        <v>1</v>
      </c>
    </row>
    <row r="120" spans="1:11" x14ac:dyDescent="0.2">
      <c r="C120" s="45" t="str">
        <v>r</v>
      </c>
      <c r="D120" s="45">
        <v>1</v>
      </c>
    </row>
    <row r="121" spans="1:11" x14ac:dyDescent="0.2">
      <c r="C121" s="45" t="str">
        <v>d</v>
      </c>
      <c r="D121" s="45">
        <v>1</v>
      </c>
    </row>
    <row r="124" spans="1:11" customFormat="1" ht="23.25" x14ac:dyDescent="0.2">
      <c r="A124" s="7" t="s">
        <v>6</v>
      </c>
      <c r="B124" s="12" t="s">
        <v>749</v>
      </c>
      <c r="C124" s="8"/>
      <c r="D124" s="8"/>
      <c r="E124" s="8"/>
      <c r="F124" s="8"/>
      <c r="G124" s="8"/>
      <c r="H124" s="8"/>
      <c r="I124" s="8"/>
      <c r="J124" s="8"/>
      <c r="K124" s="7"/>
    </row>
    <row r="125" spans="1:11" customFormat="1" ht="18" customHeight="1" x14ac:dyDescent="0.2">
      <c r="A125" s="7"/>
      <c r="B125" s="38" t="s">
        <v>579</v>
      </c>
      <c r="C125" s="7"/>
      <c r="D125" s="7"/>
      <c r="E125" s="7"/>
      <c r="F125" s="7"/>
      <c r="G125" s="7"/>
      <c r="H125" s="7"/>
      <c r="I125" s="7"/>
      <c r="J125" s="7"/>
      <c r="K125" s="7"/>
    </row>
    <row r="126" spans="1:11" x14ac:dyDescent="0.2">
      <c r="B126" s="41" t="s">
        <v>580</v>
      </c>
    </row>
    <row r="127" spans="1:11" x14ac:dyDescent="0.2">
      <c r="B127" s="41" t="s">
        <v>750</v>
      </c>
    </row>
    <row r="129" spans="1:11" x14ac:dyDescent="0.2">
      <c r="C129" s="39" t="s">
        <v>581</v>
      </c>
      <c r="E129" s="40" t="s">
        <v>582</v>
      </c>
    </row>
    <row r="130" spans="1:11" x14ac:dyDescent="0.2">
      <c r="C130" s="42">
        <v>5</v>
      </c>
      <c r="E130" s="7" cm="1">
        <f t="array" aca="1" ref="E130" ca="1">L.TIMER(C130, _xlfn.LAMBDA(_xlpm.i, RAND() ) )</f>
        <v>0</v>
      </c>
    </row>
    <row r="133" spans="1:11" customFormat="1" ht="23.25" x14ac:dyDescent="0.2">
      <c r="A133" s="7" t="s">
        <v>6</v>
      </c>
      <c r="B133" s="12" t="s">
        <v>748</v>
      </c>
      <c r="C133" s="8"/>
      <c r="D133" s="8"/>
      <c r="E133" s="8"/>
      <c r="F133" s="8"/>
      <c r="G133" s="8"/>
      <c r="H133" s="8"/>
      <c r="I133" s="8"/>
      <c r="J133" s="8"/>
      <c r="K133" s="7"/>
    </row>
    <row r="134" spans="1:11" customFormat="1" ht="18" customHeight="1" x14ac:dyDescent="0.2">
      <c r="A134" s="7"/>
      <c r="B134" s="38" t="s">
        <v>583</v>
      </c>
      <c r="C134" s="7"/>
      <c r="D134" s="7"/>
      <c r="E134" s="7"/>
      <c r="F134" s="7"/>
      <c r="G134" s="7"/>
      <c r="H134" s="7"/>
      <c r="I134" s="7"/>
      <c r="J134" s="7"/>
      <c r="K134" s="7"/>
    </row>
    <row r="135" spans="1:11" x14ac:dyDescent="0.2">
      <c r="B135" s="41" t="s">
        <v>591</v>
      </c>
    </row>
    <row r="137" spans="1:11" x14ac:dyDescent="0.2">
      <c r="G137" s="127" t="s">
        <v>589</v>
      </c>
      <c r="H137" s="16"/>
    </row>
    <row r="138" spans="1:11" x14ac:dyDescent="0.2">
      <c r="C138" s="39" t="s">
        <v>584</v>
      </c>
      <c r="D138"/>
      <c r="G138" s="16" t="s">
        <v>587</v>
      </c>
      <c r="H138" s="16" t="s">
        <v>588</v>
      </c>
    </row>
    <row r="139" spans="1:11" x14ac:dyDescent="0.2">
      <c r="C139" s="42">
        <v>1</v>
      </c>
      <c r="D139" s="42">
        <v>2</v>
      </c>
      <c r="E139" s="42">
        <v>3</v>
      </c>
      <c r="G139" s="94" cm="1">
        <f t="array" ref="G139:H141">L.BYROW2D(C139:E141, _xlfn.LAMBDA(_xlpm.row, _xlfn.HSTACK(SUM(_xlpm.row),AVERAGE(_xlpm.row)) ))</f>
        <v>6</v>
      </c>
      <c r="H139" s="94">
        <v>2</v>
      </c>
    </row>
    <row r="140" spans="1:11" x14ac:dyDescent="0.2">
      <c r="C140" s="42">
        <v>10</v>
      </c>
      <c r="D140" s="42">
        <v>20</v>
      </c>
      <c r="E140" s="42">
        <v>30</v>
      </c>
      <c r="G140" s="94">
        <v>60</v>
      </c>
      <c r="H140" s="94">
        <v>20</v>
      </c>
    </row>
    <row r="141" spans="1:11" x14ac:dyDescent="0.2">
      <c r="C141" s="42">
        <v>100</v>
      </c>
      <c r="D141" s="42">
        <v>200</v>
      </c>
      <c r="E141" s="42">
        <v>300</v>
      </c>
      <c r="G141" s="94">
        <v>600</v>
      </c>
      <c r="H141" s="94">
        <v>200</v>
      </c>
    </row>
    <row r="143" spans="1:11" x14ac:dyDescent="0.2">
      <c r="B143" s="127" t="s">
        <v>590</v>
      </c>
    </row>
    <row r="144" spans="1:11" x14ac:dyDescent="0.2">
      <c r="B144" s="16" t="s">
        <v>585</v>
      </c>
      <c r="C144" s="94" cm="1">
        <f t="array" ref="C144:E145">L.BYCOL2D(C139:E141, _xlfn.LAMBDA(_xlpm.col, _xlfn.VSTACK(SUM(_xlpm.col),AVERAGE(_xlpm.col)) ))</f>
        <v>111</v>
      </c>
      <c r="D144" s="94">
        <v>222</v>
      </c>
      <c r="E144" s="94">
        <v>333</v>
      </c>
    </row>
    <row r="145" spans="1:17" x14ac:dyDescent="0.2">
      <c r="B145" s="16" t="s">
        <v>586</v>
      </c>
      <c r="C145" s="94">
        <v>37</v>
      </c>
      <c r="D145" s="94">
        <v>74</v>
      </c>
      <c r="E145" s="94">
        <v>111</v>
      </c>
    </row>
    <row r="148" spans="1:17" customFormat="1" ht="23.25" x14ac:dyDescent="0.2">
      <c r="A148" s="7" t="s">
        <v>6</v>
      </c>
      <c r="B148" s="12" t="s">
        <v>911</v>
      </c>
      <c r="C148" s="8"/>
      <c r="D148" s="8"/>
      <c r="E148" s="8"/>
      <c r="F148" s="8"/>
      <c r="G148" s="8"/>
      <c r="H148" s="8"/>
      <c r="I148" s="8"/>
      <c r="J148" s="8"/>
      <c r="K148" s="7"/>
    </row>
    <row r="149" spans="1:17" customFormat="1" ht="18" customHeight="1" x14ac:dyDescent="0.2">
      <c r="A149" s="7"/>
      <c r="B149" s="38" t="s">
        <v>583</v>
      </c>
      <c r="C149" s="7"/>
      <c r="D149" s="7"/>
      <c r="E149" s="7"/>
      <c r="F149" s="7"/>
      <c r="G149" s="7"/>
      <c r="H149" s="7"/>
      <c r="I149" s="7"/>
      <c r="J149" s="7"/>
      <c r="K149" s="7"/>
    </row>
    <row r="150" spans="1:17" x14ac:dyDescent="0.2">
      <c r="B150" s="41" t="s">
        <v>910</v>
      </c>
    </row>
    <row r="152" spans="1:17" x14ac:dyDescent="0.2">
      <c r="C152" s="66" t="s">
        <v>912</v>
      </c>
    </row>
    <row r="153" spans="1:17" x14ac:dyDescent="0.2">
      <c r="C153" s="7" cm="1">
        <f t="array" ref="C153:G157">L.HSTACK_ForEach(_xlfn.SEQUENCE(5), _xleta.SEQUENCE)</f>
        <v>1</v>
      </c>
      <c r="D153" s="7">
        <v>1</v>
      </c>
      <c r="E153" s="7">
        <v>1</v>
      </c>
      <c r="F153" s="7">
        <v>1</v>
      </c>
      <c r="G153" s="7">
        <v>1</v>
      </c>
    </row>
    <row r="154" spans="1:17" x14ac:dyDescent="0.2">
      <c r="C154" s="7" t="e">
        <v>#N/A</v>
      </c>
      <c r="D154" s="7">
        <v>2</v>
      </c>
      <c r="E154" s="7">
        <v>2</v>
      </c>
      <c r="F154" s="7">
        <v>2</v>
      </c>
      <c r="G154" s="7">
        <v>2</v>
      </c>
    </row>
    <row r="155" spans="1:17" x14ac:dyDescent="0.2">
      <c r="C155" s="7" t="e">
        <v>#N/A</v>
      </c>
      <c r="D155" s="7" t="e">
        <v>#N/A</v>
      </c>
      <c r="E155" s="7">
        <v>3</v>
      </c>
      <c r="F155" s="7">
        <v>3</v>
      </c>
      <c r="G155" s="7">
        <v>3</v>
      </c>
    </row>
    <row r="156" spans="1:17" x14ac:dyDescent="0.2">
      <c r="C156" s="7" t="e">
        <v>#N/A</v>
      </c>
      <c r="D156" s="7" t="e">
        <v>#N/A</v>
      </c>
      <c r="E156" s="7" t="e">
        <v>#N/A</v>
      </c>
      <c r="F156" s="7">
        <v>4</v>
      </c>
      <c r="G156" s="7">
        <v>4</v>
      </c>
    </row>
    <row r="157" spans="1:17" x14ac:dyDescent="0.2">
      <c r="C157" s="7" t="e">
        <v>#N/A</v>
      </c>
      <c r="D157" s="7" t="e">
        <v>#N/A</v>
      </c>
      <c r="E157" s="7" t="e">
        <v>#N/A</v>
      </c>
      <c r="F157" s="7" t="e">
        <v>#N/A</v>
      </c>
      <c r="G157" s="7">
        <v>5</v>
      </c>
    </row>
    <row r="159" spans="1:17" x14ac:dyDescent="0.2">
      <c r="C159" s="66" t="s">
        <v>913</v>
      </c>
    </row>
    <row r="160" spans="1:17" x14ac:dyDescent="0.2">
      <c r="C160" s="45" cm="1">
        <f t="array" ref="C160:Q160">L.HSTACK_ForEach( _xlfn.SEQUENCE(5), _xlfn.LAMBDA(_xlpm.v, _xlfn.SEQUENCE(1,_xlpm.v) ) )</f>
        <v>1</v>
      </c>
      <c r="D160" s="45">
        <v>1</v>
      </c>
      <c r="E160" s="45">
        <v>2</v>
      </c>
      <c r="F160" s="45">
        <v>1</v>
      </c>
      <c r="G160" s="45">
        <v>2</v>
      </c>
      <c r="H160" s="45">
        <v>3</v>
      </c>
      <c r="I160" s="45">
        <v>1</v>
      </c>
      <c r="J160" s="45">
        <v>2</v>
      </c>
      <c r="K160" s="45">
        <v>3</v>
      </c>
      <c r="L160" s="45">
        <v>4</v>
      </c>
      <c r="M160" s="45">
        <v>1</v>
      </c>
      <c r="N160" s="45">
        <v>2</v>
      </c>
      <c r="O160" s="45">
        <v>3</v>
      </c>
      <c r="P160" s="45">
        <v>4</v>
      </c>
      <c r="Q160" s="45">
        <v>5</v>
      </c>
    </row>
    <row r="163" spans="1:11" customFormat="1" ht="23.25" x14ac:dyDescent="0.2">
      <c r="A163" s="7" t="s">
        <v>6</v>
      </c>
      <c r="B163" s="12" t="s">
        <v>744</v>
      </c>
      <c r="C163" s="8"/>
      <c r="D163" s="8"/>
      <c r="E163" s="8"/>
      <c r="F163" s="8"/>
      <c r="G163" s="8"/>
      <c r="H163" s="8"/>
      <c r="I163" s="8"/>
      <c r="J163" s="8"/>
      <c r="K163" s="7"/>
    </row>
    <row r="164" spans="1:11" customFormat="1" ht="18" customHeight="1" x14ac:dyDescent="0.2">
      <c r="A164" s="7"/>
      <c r="B164" s="46" t="s">
        <v>611</v>
      </c>
      <c r="C164" s="7"/>
      <c r="D164" s="7"/>
      <c r="E164" s="7"/>
      <c r="F164" s="7"/>
      <c r="G164" s="7"/>
      <c r="H164" s="7"/>
      <c r="I164" s="7"/>
      <c r="J164" s="7"/>
      <c r="K164" s="7"/>
    </row>
    <row r="165" spans="1:11" ht="18" customHeight="1" x14ac:dyDescent="0.2">
      <c r="B165" s="41" t="s">
        <v>612</v>
      </c>
    </row>
    <row r="166" spans="1:11" ht="18" customHeight="1" x14ac:dyDescent="0.2">
      <c r="B166" s="41" t="s">
        <v>613</v>
      </c>
    </row>
    <row r="167" spans="1:11" ht="18" customHeight="1" x14ac:dyDescent="0.2"/>
    <row r="168" spans="1:11" ht="18" customHeight="1" x14ac:dyDescent="0.2"/>
    <row r="169" spans="1:11" customFormat="1" ht="23.25" x14ac:dyDescent="0.2">
      <c r="A169" s="7" t="s">
        <v>6</v>
      </c>
      <c r="B169" s="12" t="s">
        <v>746</v>
      </c>
      <c r="C169" s="8"/>
      <c r="D169" s="8"/>
      <c r="E169" s="8"/>
      <c r="F169" s="8"/>
      <c r="G169" s="8"/>
      <c r="H169" s="8"/>
      <c r="I169" s="8"/>
      <c r="J169" s="8"/>
      <c r="K169" s="7"/>
    </row>
    <row r="170" spans="1:11" customFormat="1" ht="18" customHeight="1" x14ac:dyDescent="0.2">
      <c r="A170" s="7"/>
      <c r="B170" s="46" t="s">
        <v>649</v>
      </c>
      <c r="C170" s="7"/>
      <c r="D170" s="7"/>
      <c r="E170" s="7"/>
      <c r="F170" s="7"/>
      <c r="G170" s="7"/>
      <c r="H170" s="7"/>
      <c r="I170" s="7"/>
      <c r="J170" s="7"/>
      <c r="K170" s="7"/>
    </row>
    <row r="171" spans="1:11" x14ac:dyDescent="0.2">
      <c r="B171" s="7" t="s">
        <v>650</v>
      </c>
    </row>
    <row r="172" spans="1:11" ht="18" customHeight="1" x14ac:dyDescent="0.2"/>
    <row r="173" spans="1:11" ht="18" customHeight="1" thickBot="1" x14ac:dyDescent="0.25"/>
    <row r="174" spans="1:11" ht="18" customHeight="1" thickBot="1" x14ac:dyDescent="0.25">
      <c r="C174" s="131" t="str" cm="1">
        <f t="array" aca="1" ref="C174" ca="1">HYPERLINK(L.BOOKMARK(I174),"Click Here")</f>
        <v>Click Here</v>
      </c>
      <c r="I174" s="57" t="s">
        <v>648</v>
      </c>
    </row>
    <row r="175" spans="1:11" ht="18" customHeight="1" x14ac:dyDescent="0.2"/>
    <row r="176" spans="1:11" ht="18" customHeight="1" x14ac:dyDescent="0.2"/>
    <row r="177" spans="1:11" customFormat="1" ht="23.25" x14ac:dyDescent="0.2">
      <c r="A177" s="7" t="s">
        <v>6</v>
      </c>
      <c r="B177" s="12" t="s">
        <v>745</v>
      </c>
      <c r="C177" s="8"/>
      <c r="D177" s="8"/>
      <c r="E177" s="8"/>
      <c r="F177" s="8"/>
      <c r="G177" s="8"/>
      <c r="H177" s="8"/>
      <c r="I177" s="8"/>
      <c r="J177" s="8"/>
      <c r="K177" s="7"/>
    </row>
    <row r="178" spans="1:11" customFormat="1" ht="18" customHeight="1" x14ac:dyDescent="0.2">
      <c r="A178" s="7"/>
      <c r="B178" s="46" t="s">
        <v>649</v>
      </c>
      <c r="C178" s="7"/>
      <c r="D178" s="7"/>
      <c r="E178" s="7"/>
      <c r="F178" s="7"/>
      <c r="G178" s="7"/>
      <c r="H178" s="7"/>
      <c r="I178" s="7"/>
      <c r="J178" s="7"/>
      <c r="K178" s="7"/>
    </row>
    <row r="179" spans="1:11" x14ac:dyDescent="0.2">
      <c r="B179" s="7" t="s">
        <v>747</v>
      </c>
    </row>
    <row r="180" spans="1:11" ht="18" customHeight="1" x14ac:dyDescent="0.2"/>
    <row r="181" spans="1:11" ht="18" customHeight="1" x14ac:dyDescent="0.2">
      <c r="C181" s="132" t="str" cm="1">
        <f t="array" aca="1" ref="C181:E183" ca="1">L.AD(C181:E183,4)</f>
        <v>C181</v>
      </c>
      <c r="D181" s="132" t="str">
        <f ca="1"/>
        <v>D181</v>
      </c>
      <c r="E181" s="132" t="str">
        <f ca="1"/>
        <v>E181</v>
      </c>
      <c r="G181" s="132" t="str" cm="1">
        <f t="array" aca="1" ref="G181" ca="1">L.AD(G181,,,TRUE)</f>
        <v>General!$G$181</v>
      </c>
    </row>
    <row r="182" spans="1:11" ht="18" customHeight="1" x14ac:dyDescent="0.2">
      <c r="C182" s="132" t="str">
        <f ca="1"/>
        <v>C182</v>
      </c>
      <c r="D182" s="132" t="str">
        <f ca="1"/>
        <v>D182</v>
      </c>
      <c r="E182" s="132" t="str">
        <f ca="1"/>
        <v>E182</v>
      </c>
    </row>
    <row r="183" spans="1:11" ht="18" customHeight="1" x14ac:dyDescent="0.2">
      <c r="C183" s="132" t="str">
        <f ca="1"/>
        <v>C183</v>
      </c>
      <c r="D183" s="132" t="str">
        <f ca="1"/>
        <v>D183</v>
      </c>
      <c r="E183" s="132" t="str">
        <f ca="1"/>
        <v>E183</v>
      </c>
    </row>
    <row r="184" spans="1:11" ht="18" customHeight="1" x14ac:dyDescent="0.2"/>
    <row r="185" spans="1:11" ht="18" customHeight="1" x14ac:dyDescent="0.2"/>
    <row r="186" spans="1:11" ht="18" customHeight="1" x14ac:dyDescent="0.2"/>
    <row r="187" spans="1:11" customFormat="1" ht="18" customHeight="1" x14ac:dyDescent="0.2">
      <c r="A187" s="28" t="s">
        <v>6</v>
      </c>
      <c r="B187" s="13"/>
      <c r="C187" s="14"/>
      <c r="D187" s="6"/>
      <c r="E187" s="6"/>
      <c r="F187" s="6"/>
      <c r="G187" s="6"/>
      <c r="H187" s="6"/>
      <c r="I187" s="6"/>
      <c r="J187" s="6"/>
      <c r="K187" s="7"/>
    </row>
  </sheetData>
  <mergeCells count="2">
    <mergeCell ref="I1:J1"/>
    <mergeCell ref="B5:J7"/>
  </mergeCells>
  <hyperlinks>
    <hyperlink ref="B2" r:id="rId1" xr:uid="{9D8B8F99-DD87-4C27-B43A-4DCA24491072}"/>
    <hyperlink ref="B11" r:id="rId2" xr:uid="{9ED95637-7425-4111-AFD3-6E6B481E7E04}"/>
    <hyperlink ref="B39" r:id="rId3" xr:uid="{AF74DF0B-25C6-42FC-AC42-5FD320A9E079}"/>
    <hyperlink ref="B51" r:id="rId4" xr:uid="{AD5369FC-684E-49D0-96DA-EEB9C93F0CED}"/>
    <hyperlink ref="B93" r:id="rId5" xr:uid="{CDE32963-79AD-4E87-9217-1C4DCC4D636E}"/>
    <hyperlink ref="B125" r:id="rId6" xr:uid="{536C72EB-3336-4932-BC41-090EA969D51F}"/>
    <hyperlink ref="B134" r:id="rId7" xr:uid="{370D8BAB-1072-4486-A94A-FAA045F04753}"/>
    <hyperlink ref="B164" r:id="rId8" xr:uid="{556AB77D-AB4B-44A8-9DDE-BDAB94E5E6E0}"/>
    <hyperlink ref="B26" r:id="rId9" xr:uid="{C8C267B0-9167-4FA0-82B9-26996C53B200}"/>
    <hyperlink ref="B170" r:id="rId10" xr:uid="{57BD12DB-EE8C-47C6-A1CF-0FBB0B678AD2}"/>
    <hyperlink ref="B178" r:id="rId11" xr:uid="{3B664258-D3B0-413B-AE23-FFA1B8E88B9A}"/>
    <hyperlink ref="H89" r:id="rId12" xr:uid="{50AE011C-6E9F-448A-B416-FAB50FA4BF9F}"/>
    <hyperlink ref="B149" r:id="rId13" xr:uid="{43B6AA79-95C3-4BEE-A2EB-3AAF0B2EF9DB}"/>
  </hyperlinks>
  <pageMargins left="0.7" right="0.7" top="0.75" bottom="0.75" header="0.3" footer="0.3"/>
  <pageSetup paperSize="0" orientation="portrait" horizontalDpi="203" verticalDpi="203"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7C91-6956-4459-AF33-792DB3F89210}">
  <dimension ref="A1:CZ507"/>
  <sheetViews>
    <sheetView showGridLines="0" workbookViewId="0"/>
  </sheetViews>
  <sheetFormatPr defaultRowHeight="15" x14ac:dyDescent="0.2"/>
  <cols>
    <col min="1" max="1" width="4.5" style="48" customWidth="1"/>
    <col min="2" max="11" width="11.125" style="7" customWidth="1"/>
    <col min="12" max="16384" width="9" style="7"/>
  </cols>
  <sheetData>
    <row r="1" spans="1:11" ht="36.950000000000003" customHeight="1" x14ac:dyDescent="0.2">
      <c r="A1" s="49"/>
      <c r="B1" s="2" t="s">
        <v>121</v>
      </c>
      <c r="C1" s="2"/>
      <c r="D1" s="2"/>
      <c r="E1" s="2"/>
      <c r="F1" s="2"/>
      <c r="G1" s="2"/>
      <c r="H1" s="2"/>
      <c r="I1" s="209" t="e" vm="1">
        <v>#VALUE!</v>
      </c>
      <c r="J1" s="209"/>
    </row>
    <row r="2" spans="1:11" ht="18" customHeight="1" x14ac:dyDescent="0.2">
      <c r="B2" s="46" t="s">
        <v>55</v>
      </c>
      <c r="J2" s="47" t="s">
        <v>909</v>
      </c>
    </row>
    <row r="3" spans="1:11" ht="18" customHeight="1" x14ac:dyDescent="0.2"/>
    <row r="4" spans="1:11" ht="18" customHeight="1" x14ac:dyDescent="0.2">
      <c r="B4" s="21" t="s">
        <v>85</v>
      </c>
    </row>
    <row r="5" spans="1:11" ht="18" customHeight="1" x14ac:dyDescent="0.2">
      <c r="B5" s="212" t="s">
        <v>86</v>
      </c>
      <c r="C5" s="212"/>
      <c r="D5" s="212"/>
      <c r="E5" s="212"/>
      <c r="F5" s="212"/>
      <c r="G5" s="212"/>
      <c r="H5" s="212"/>
      <c r="I5" s="212"/>
      <c r="J5" s="212"/>
    </row>
    <row r="6" spans="1:11" ht="18" customHeight="1" x14ac:dyDescent="0.2">
      <c r="B6" s="212"/>
      <c r="C6" s="212"/>
      <c r="D6" s="212"/>
      <c r="E6" s="212"/>
      <c r="F6" s="212"/>
      <c r="G6" s="212"/>
      <c r="H6" s="212"/>
      <c r="I6" s="212"/>
      <c r="J6" s="212"/>
    </row>
    <row r="7" spans="1:11" ht="18" customHeight="1" x14ac:dyDescent="0.2">
      <c r="B7" s="212"/>
      <c r="C7" s="212"/>
      <c r="D7" s="212"/>
      <c r="E7" s="212"/>
      <c r="F7" s="212"/>
      <c r="G7" s="212"/>
      <c r="H7" s="212"/>
      <c r="I7" s="212"/>
      <c r="J7" s="212"/>
    </row>
    <row r="10" spans="1:11" customFormat="1" ht="23.25" x14ac:dyDescent="0.2">
      <c r="A10" s="45" t="s">
        <v>6</v>
      </c>
      <c r="B10" s="12" t="s">
        <v>756</v>
      </c>
      <c r="C10" s="8"/>
      <c r="D10" s="8"/>
      <c r="E10" s="8"/>
      <c r="F10" s="8"/>
      <c r="G10" s="8"/>
      <c r="H10" s="8"/>
      <c r="I10" s="8"/>
      <c r="J10" s="8"/>
      <c r="K10" s="7"/>
    </row>
    <row r="11" spans="1:11" customFormat="1" ht="18" customHeight="1" x14ac:dyDescent="0.2">
      <c r="A11" s="45"/>
      <c r="B11" s="38" t="s">
        <v>201</v>
      </c>
      <c r="C11" s="7"/>
      <c r="D11" s="7"/>
      <c r="E11" s="7"/>
      <c r="F11" s="7"/>
      <c r="I11" s="7"/>
      <c r="J11" s="7"/>
      <c r="K11" s="7"/>
    </row>
    <row r="12" spans="1:11" customFormat="1" ht="18" customHeight="1" x14ac:dyDescent="0.2">
      <c r="A12" s="45"/>
      <c r="B12" s="41" t="s">
        <v>485</v>
      </c>
      <c r="C12" s="7"/>
      <c r="D12" s="7"/>
      <c r="E12" s="7"/>
      <c r="F12" s="7"/>
      <c r="G12" s="7"/>
      <c r="H12" s="7"/>
      <c r="I12" s="7"/>
      <c r="J12" s="7"/>
      <c r="K12" s="7"/>
    </row>
    <row r="13" spans="1:11" customFormat="1" ht="18" customHeight="1" x14ac:dyDescent="0.2">
      <c r="A13" s="45"/>
      <c r="B13" s="7"/>
      <c r="C13" s="7"/>
      <c r="D13" s="7"/>
      <c r="E13" s="7"/>
      <c r="F13" s="7"/>
      <c r="G13" s="7"/>
      <c r="H13" s="7"/>
      <c r="I13" s="7"/>
      <c r="J13" s="7"/>
      <c r="K13" s="7"/>
    </row>
    <row r="14" spans="1:11" customFormat="1" ht="23.25" x14ac:dyDescent="0.2">
      <c r="A14" s="45" t="s">
        <v>6</v>
      </c>
      <c r="B14" s="12" t="s">
        <v>757</v>
      </c>
      <c r="C14" s="8"/>
      <c r="D14" s="8"/>
      <c r="E14" s="8"/>
      <c r="F14" s="8"/>
      <c r="G14" s="8"/>
      <c r="H14" s="8"/>
      <c r="I14" s="8"/>
      <c r="J14" s="8"/>
      <c r="K14" s="7"/>
    </row>
    <row r="15" spans="1:11" customFormat="1" ht="18" customHeight="1" x14ac:dyDescent="0.2">
      <c r="A15" s="45"/>
      <c r="B15" s="38" t="s">
        <v>202</v>
      </c>
      <c r="C15" s="7"/>
      <c r="D15" s="7"/>
      <c r="E15" s="7"/>
      <c r="F15" s="7"/>
      <c r="I15" s="7"/>
      <c r="J15" s="7"/>
      <c r="K15" s="7"/>
    </row>
    <row r="16" spans="1:11" customFormat="1" ht="18" customHeight="1" x14ac:dyDescent="0.2">
      <c r="A16" s="45"/>
      <c r="B16" s="41" t="s">
        <v>486</v>
      </c>
      <c r="C16" s="7"/>
      <c r="D16" s="7"/>
      <c r="E16" s="7"/>
      <c r="F16" s="7"/>
      <c r="G16" s="7"/>
      <c r="H16" s="7"/>
      <c r="I16" s="7"/>
      <c r="J16" s="7"/>
      <c r="K16" s="7"/>
    </row>
    <row r="17" spans="1:12" customFormat="1" ht="18" customHeight="1" x14ac:dyDescent="0.2">
      <c r="A17" s="45"/>
      <c r="B17" s="7"/>
      <c r="C17" s="7"/>
      <c r="D17" s="7"/>
      <c r="E17" s="7"/>
      <c r="F17" s="7"/>
      <c r="G17" s="7"/>
      <c r="H17" s="7"/>
      <c r="I17" s="7"/>
      <c r="J17" s="7"/>
      <c r="K17" s="7"/>
    </row>
    <row r="18" spans="1:12" ht="20.25" x14ac:dyDescent="0.2">
      <c r="C18" s="74" t="str">
        <f>"POLYFIT, n="&amp;D20</f>
        <v>POLYFIT, n=2</v>
      </c>
      <c r="G18"/>
      <c r="H18"/>
      <c r="L18"/>
    </row>
    <row r="19" spans="1:12" ht="20.25" x14ac:dyDescent="0.2">
      <c r="C19" s="74"/>
      <c r="G19"/>
      <c r="H19"/>
      <c r="L19"/>
    </row>
    <row r="20" spans="1:12" ht="15.75" x14ac:dyDescent="0.2">
      <c r="C20" s="75" t="s">
        <v>203</v>
      </c>
      <c r="D20" s="76">
        <v>2</v>
      </c>
      <c r="E20"/>
      <c r="F20" s="40" t="s">
        <v>204</v>
      </c>
      <c r="G20" s="40" t="s">
        <v>205</v>
      </c>
      <c r="H20" s="40" t="s">
        <v>206</v>
      </c>
      <c r="I20" s="40" t="s">
        <v>207</v>
      </c>
      <c r="J20" s="40" t="s">
        <v>208</v>
      </c>
      <c r="K20"/>
      <c r="L20"/>
    </row>
    <row r="21" spans="1:12" x14ac:dyDescent="0.2">
      <c r="C21" s="41"/>
      <c r="E21" s="16" t="s">
        <v>209</v>
      </c>
      <c r="F21" s="60" cm="1">
        <f t="array" ref="F21:H21">L.POLYFIT(C23:C28,D23:D28,D20)</f>
        <v>3.8369182254444061</v>
      </c>
      <c r="G21" s="60">
        <v>-28.948784929082215</v>
      </c>
      <c r="H21" s="60">
        <v>63.434111273415681</v>
      </c>
      <c r="I21" s="60"/>
      <c r="J21" s="60"/>
      <c r="K21"/>
      <c r="L21"/>
    </row>
    <row r="22" spans="1:12" x14ac:dyDescent="0.2">
      <c r="C22" s="77" t="s">
        <v>210</v>
      </c>
      <c r="D22" s="77" t="s">
        <v>211</v>
      </c>
      <c r="E22" s="16" t="s">
        <v>212</v>
      </c>
      <c r="F22" s="7" t="str" cm="1">
        <f t="array" ref="F22">"y = "&amp;_xlfn.TEXTJOIN(" + ",TRUE,ROUND(_xlfn.ANCHORARRAY(F21),3)&amp;"x^"&amp;_xlfn.SEQUENCE(1,D20+1,D20,-1))</f>
        <v>y = 3.837x^2 + -28.949x^1 + 63.434x^0</v>
      </c>
      <c r="K22"/>
      <c r="L22"/>
    </row>
    <row r="23" spans="1:12" x14ac:dyDescent="0.2">
      <c r="C23" s="76">
        <v>2</v>
      </c>
      <c r="D23" s="76">
        <v>22.5</v>
      </c>
      <c r="F23"/>
      <c r="G23"/>
      <c r="K23"/>
      <c r="L23"/>
    </row>
    <row r="24" spans="1:12" x14ac:dyDescent="0.2">
      <c r="C24" s="76">
        <v>2.5</v>
      </c>
      <c r="D24" s="76">
        <v>13</v>
      </c>
      <c r="F24"/>
      <c r="G24"/>
      <c r="H24"/>
      <c r="K24"/>
      <c r="L24"/>
    </row>
    <row r="25" spans="1:12" x14ac:dyDescent="0.2">
      <c r="C25" s="76">
        <v>4</v>
      </c>
      <c r="D25" s="76">
        <v>7</v>
      </c>
      <c r="F25"/>
      <c r="G25"/>
      <c r="H25"/>
      <c r="J25"/>
      <c r="K25"/>
      <c r="L25"/>
    </row>
    <row r="26" spans="1:12" x14ac:dyDescent="0.2">
      <c r="C26" s="76">
        <v>4.5</v>
      </c>
      <c r="D26" s="76">
        <v>14</v>
      </c>
      <c r="F26"/>
      <c r="G26"/>
      <c r="H26"/>
      <c r="J26"/>
      <c r="K26"/>
      <c r="L26"/>
    </row>
    <row r="27" spans="1:12" x14ac:dyDescent="0.2">
      <c r="C27" s="76">
        <v>5.0999999999999996</v>
      </c>
      <c r="D27" s="76">
        <v>16</v>
      </c>
      <c r="F27"/>
      <c r="G27"/>
      <c r="H27"/>
      <c r="J27"/>
      <c r="K27"/>
      <c r="L27"/>
    </row>
    <row r="28" spans="1:12" x14ac:dyDescent="0.2">
      <c r="C28" s="76">
        <v>5.7</v>
      </c>
      <c r="D28" s="76">
        <v>22</v>
      </c>
      <c r="F28"/>
      <c r="G28"/>
      <c r="H28"/>
      <c r="J28"/>
      <c r="K28"/>
      <c r="L28"/>
    </row>
    <row r="29" spans="1:12" x14ac:dyDescent="0.2">
      <c r="F29"/>
      <c r="G29"/>
      <c r="H29"/>
      <c r="J29"/>
      <c r="K29"/>
      <c r="L29"/>
    </row>
    <row r="30" spans="1:12" x14ac:dyDescent="0.2">
      <c r="C30" s="77" t="s">
        <v>213</v>
      </c>
      <c r="D30" s="40" t="s">
        <v>214</v>
      </c>
      <c r="E30" s="40" t="s">
        <v>758</v>
      </c>
      <c r="F30"/>
      <c r="G30"/>
      <c r="H30"/>
      <c r="J30"/>
      <c r="K30"/>
      <c r="L30"/>
    </row>
    <row r="31" spans="1:12" x14ac:dyDescent="0.2">
      <c r="C31" s="76" cm="1">
        <f t="array" ref="C31:C41">L.LINSPACE(MIN(C23:C28),MAX(C23:C28),11)</f>
        <v>2</v>
      </c>
      <c r="D31" s="78" cm="1">
        <f t="array" ref="D31">SUM(_xlfn.ANCHORARRAY($F$21)*C31^_xlfn.SEQUENCE(1,$D$20+1,$D$20,-1))</f>
        <v>20.884214317028878</v>
      </c>
      <c r="E31" s="78" cm="1">
        <f t="array" ref="E31:E41">L.POLYVAL(TRANSPOSE(_xlfn.ANCHORARRAY($F$21)),_xlfn.ANCHORARRAY(C31))</f>
        <v>20.884214317028878</v>
      </c>
      <c r="F31"/>
      <c r="G31"/>
      <c r="H31"/>
      <c r="J31"/>
      <c r="K31"/>
      <c r="L31"/>
    </row>
    <row r="32" spans="1:12" x14ac:dyDescent="0.2">
      <c r="C32" s="76">
        <v>2.37</v>
      </c>
      <c r="D32" s="78" cm="1">
        <f t="array" ref="D32">SUM(_xlfn.ANCHORARRAY($F$21)*C32^_xlfn.SEQUENCE(1,$D$20+1,$D$20,-1))</f>
        <v>16.37707697198951</v>
      </c>
      <c r="E32" s="78">
        <v>16.37707697198951</v>
      </c>
      <c r="F32"/>
      <c r="G32"/>
      <c r="H32"/>
      <c r="J32"/>
      <c r="K32"/>
      <c r="L32"/>
    </row>
    <row r="33" spans="1:12" x14ac:dyDescent="0.2">
      <c r="C33" s="76">
        <v>2.74</v>
      </c>
      <c r="D33" s="78" cm="1">
        <f t="array" ref="D33">SUM(_xlfn.ANCHORARRAY($F$21)*C33^_xlfn.SEQUENCE(1,$D$20+1,$D$20,-1))</f>
        <v>12.92048783707682</v>
      </c>
      <c r="E33" s="78">
        <v>12.92048783707682</v>
      </c>
      <c r="F33"/>
      <c r="G33"/>
      <c r="H33"/>
      <c r="J33"/>
      <c r="K33"/>
      <c r="L33"/>
    </row>
    <row r="34" spans="1:12" x14ac:dyDescent="0.2">
      <c r="C34" s="76">
        <v>3.1100000000000003</v>
      </c>
      <c r="D34" s="78" cm="1">
        <f t="array" ref="D34">SUM(_xlfn.ANCHORARRAY($F$21)*C34^_xlfn.SEQUENCE(1,$D$20+1,$D$20,-1))</f>
        <v>10.514446912290836</v>
      </c>
      <c r="E34" s="78">
        <v>10.514446912290836</v>
      </c>
      <c r="F34"/>
      <c r="G34"/>
      <c r="H34"/>
      <c r="J34"/>
      <c r="K34"/>
      <c r="L34"/>
    </row>
    <row r="35" spans="1:12" x14ac:dyDescent="0.2">
      <c r="C35" s="76">
        <v>3.4800000000000004</v>
      </c>
      <c r="D35" s="78" cm="1">
        <f t="array" ref="D35">SUM(_xlfn.ANCHORARRAY($F$21)*C35^_xlfn.SEQUENCE(1,$D$20+1,$D$20,-1))</f>
        <v>9.158954197631509</v>
      </c>
      <c r="E35" s="78">
        <v>9.158954197631509</v>
      </c>
      <c r="F35"/>
      <c r="G35"/>
      <c r="H35"/>
      <c r="J35"/>
      <c r="K35"/>
      <c r="L35"/>
    </row>
    <row r="36" spans="1:12" x14ac:dyDescent="0.2">
      <c r="C36" s="76">
        <v>3.8500000000000005</v>
      </c>
      <c r="D36" s="78" cm="1">
        <f t="array" ref="D36">SUM(_xlfn.ANCHORARRAY($F$21)*C36^_xlfn.SEQUENCE(1,$D$20+1,$D$20,-1))</f>
        <v>8.8540096930988526</v>
      </c>
      <c r="E36" s="78">
        <v>8.8540096930988526</v>
      </c>
      <c r="F36"/>
      <c r="G36"/>
      <c r="H36"/>
      <c r="J36"/>
      <c r="K36"/>
      <c r="L36"/>
    </row>
    <row r="37" spans="1:12" x14ac:dyDescent="0.2">
      <c r="C37" s="76">
        <v>4.2200000000000006</v>
      </c>
      <c r="D37" s="78" cm="1">
        <f t="array" ref="D37">SUM(_xlfn.ANCHORARRAY($F$21)*C37^_xlfn.SEQUENCE(1,$D$20+1,$D$20,-1))</f>
        <v>9.5996133986928953</v>
      </c>
      <c r="E37" s="78">
        <v>9.5996133986928953</v>
      </c>
      <c r="F37"/>
      <c r="G37"/>
      <c r="H37"/>
      <c r="J37"/>
      <c r="K37"/>
      <c r="L37"/>
    </row>
    <row r="38" spans="1:12" x14ac:dyDescent="0.2">
      <c r="C38" s="76">
        <v>4.5900000000000007</v>
      </c>
      <c r="D38" s="78" cm="1">
        <f t="array" ref="D38">SUM(_xlfn.ANCHORARRAY($F$21)*C38^_xlfn.SEQUENCE(1,$D$20+1,$D$20,-1))</f>
        <v>11.395765314413623</v>
      </c>
      <c r="E38" s="78">
        <v>11.395765314413623</v>
      </c>
      <c r="F38"/>
      <c r="G38"/>
      <c r="H38"/>
      <c r="J38"/>
      <c r="K38"/>
      <c r="L38"/>
    </row>
    <row r="39" spans="1:12" x14ac:dyDescent="0.2">
      <c r="C39" s="76">
        <v>4.9600000000000009</v>
      </c>
      <c r="D39" s="78" cm="1">
        <f t="array" ref="D39">SUM(_xlfn.ANCHORARRAY($F$21)*C39^_xlfn.SEQUENCE(1,$D$20+1,$D$20,-1))</f>
        <v>14.242465440260986</v>
      </c>
      <c r="E39" s="78">
        <v>14.242465440260986</v>
      </c>
      <c r="F39"/>
      <c r="G39"/>
      <c r="H39"/>
      <c r="J39"/>
      <c r="K39"/>
      <c r="L39"/>
    </row>
    <row r="40" spans="1:12" x14ac:dyDescent="0.2">
      <c r="C40" s="76">
        <v>5.330000000000001</v>
      </c>
      <c r="D40" s="78" cm="1">
        <f t="array" ref="D40">SUM(_xlfn.ANCHORARRAY($F$21)*C40^_xlfn.SEQUENCE(1,$D$20+1,$D$20,-1))</f>
        <v>18.13971377623507</v>
      </c>
      <c r="E40" s="78">
        <v>18.13971377623507</v>
      </c>
      <c r="F40"/>
      <c r="G40"/>
      <c r="H40"/>
      <c r="J40"/>
      <c r="K40"/>
      <c r="L40"/>
    </row>
    <row r="41" spans="1:12" x14ac:dyDescent="0.2">
      <c r="C41" s="76">
        <v>5.7000000000000011</v>
      </c>
      <c r="D41" s="78" cm="1">
        <f t="array" ref="D41">SUM(_xlfn.ANCHORARRAY($F$21)*C41^_xlfn.SEQUENCE(1,$D$20+1,$D$20,-1))</f>
        <v>23.087510322335817</v>
      </c>
      <c r="E41" s="78">
        <v>23.087510322335817</v>
      </c>
      <c r="F41"/>
      <c r="G41"/>
      <c r="H41"/>
      <c r="J41"/>
      <c r="K41"/>
      <c r="L41"/>
    </row>
    <row r="42" spans="1:12" x14ac:dyDescent="0.2">
      <c r="K42"/>
      <c r="L42"/>
    </row>
    <row r="47" spans="1:12" customFormat="1" ht="23.25" x14ac:dyDescent="0.2">
      <c r="A47" s="45" t="s">
        <v>6</v>
      </c>
      <c r="B47" s="12" t="s">
        <v>759</v>
      </c>
      <c r="C47" s="8"/>
      <c r="D47" s="8"/>
      <c r="E47" s="8"/>
      <c r="F47" s="8"/>
      <c r="G47" s="8"/>
      <c r="H47" s="8"/>
      <c r="I47" s="8"/>
      <c r="J47" s="8"/>
      <c r="K47" s="7"/>
    </row>
    <row r="48" spans="1:12" customFormat="1" ht="18" customHeight="1" x14ac:dyDescent="0.2">
      <c r="A48" s="45"/>
      <c r="B48" s="38" t="s">
        <v>215</v>
      </c>
      <c r="C48" s="7"/>
      <c r="D48" s="7"/>
      <c r="E48" s="7"/>
      <c r="F48" s="7"/>
      <c r="I48" s="7"/>
      <c r="J48" s="7"/>
      <c r="K48" s="7"/>
    </row>
    <row r="49" spans="1:11" customFormat="1" ht="18" customHeight="1" x14ac:dyDescent="0.2">
      <c r="A49" s="45"/>
      <c r="B49" s="41" t="s">
        <v>487</v>
      </c>
      <c r="C49" s="7"/>
      <c r="D49" s="7"/>
      <c r="E49" s="7"/>
      <c r="F49" s="7"/>
      <c r="G49" s="7"/>
      <c r="H49" s="7"/>
      <c r="I49" s="7"/>
      <c r="J49" s="7"/>
      <c r="K49" s="7"/>
    </row>
    <row r="51" spans="1:11" x14ac:dyDescent="0.2">
      <c r="C51" s="77" t="s">
        <v>210</v>
      </c>
      <c r="D51" s="77" t="s">
        <v>211</v>
      </c>
      <c r="F51" s="77" t="s">
        <v>213</v>
      </c>
      <c r="G51" s="40" t="s">
        <v>216</v>
      </c>
    </row>
    <row r="52" spans="1:11" x14ac:dyDescent="0.2">
      <c r="C52" s="76" cm="1">
        <f t="array" ref="C52:C59">L.SE(2,9)</f>
        <v>2</v>
      </c>
      <c r="D52" s="76">
        <f t="shared" ref="D52:D59" si="0">SIN(C52)</f>
        <v>0.90929742682568171</v>
      </c>
      <c r="F52" s="76">
        <v>1.5</v>
      </c>
      <c r="G52" s="64" cm="1">
        <f t="array" ref="G52:G60">L.LINTERP(F52:F60,_xlfn.ANCHORARRAY(C52),$D$52:$D$59)</f>
        <v>1.293386136208589</v>
      </c>
    </row>
    <row r="53" spans="1:11" x14ac:dyDescent="0.2">
      <c r="C53" s="76">
        <v>3</v>
      </c>
      <c r="D53" s="76">
        <f t="shared" si="0"/>
        <v>0.14112000805986721</v>
      </c>
      <c r="F53" s="76">
        <v>2.5</v>
      </c>
      <c r="G53" s="64">
        <v>0.52520871744277442</v>
      </c>
    </row>
    <row r="54" spans="1:11" x14ac:dyDescent="0.2">
      <c r="C54" s="76">
        <v>4</v>
      </c>
      <c r="D54" s="76">
        <f t="shared" si="0"/>
        <v>-0.7568024953079282</v>
      </c>
      <c r="F54" s="76">
        <v>3.5</v>
      </c>
      <c r="G54" s="64">
        <v>-0.30784124362403054</v>
      </c>
    </row>
    <row r="55" spans="1:11" x14ac:dyDescent="0.2">
      <c r="C55" s="76">
        <v>5</v>
      </c>
      <c r="D55" s="76">
        <f t="shared" si="0"/>
        <v>-0.95892427466313845</v>
      </c>
      <c r="F55" s="76">
        <v>4.5</v>
      </c>
      <c r="G55" s="64">
        <v>-0.85786338498553327</v>
      </c>
    </row>
    <row r="56" spans="1:11" x14ac:dyDescent="0.2">
      <c r="C56" s="76">
        <v>6</v>
      </c>
      <c r="D56" s="76">
        <f t="shared" si="0"/>
        <v>-0.27941549819892586</v>
      </c>
      <c r="F56" s="76">
        <v>5.5</v>
      </c>
      <c r="G56" s="64">
        <v>-0.61916988643103199</v>
      </c>
    </row>
    <row r="57" spans="1:11" x14ac:dyDescent="0.2">
      <c r="C57" s="76">
        <v>7</v>
      </c>
      <c r="D57" s="76">
        <f t="shared" si="0"/>
        <v>0.65698659871878906</v>
      </c>
      <c r="F57" s="76">
        <v>6.5</v>
      </c>
      <c r="G57" s="64">
        <v>0.18878555025993116</v>
      </c>
    </row>
    <row r="58" spans="1:11" x14ac:dyDescent="0.2">
      <c r="C58" s="76">
        <v>8</v>
      </c>
      <c r="D58" s="76">
        <f t="shared" si="0"/>
        <v>0.98935824662338179</v>
      </c>
      <c r="F58" s="76">
        <v>7.5</v>
      </c>
      <c r="G58" s="64">
        <v>0.82317242267108548</v>
      </c>
    </row>
    <row r="59" spans="1:11" x14ac:dyDescent="0.2">
      <c r="C59" s="76">
        <v>9</v>
      </c>
      <c r="D59" s="76">
        <f t="shared" si="0"/>
        <v>0.41211848524175659</v>
      </c>
      <c r="F59" s="76">
        <v>8.5</v>
      </c>
      <c r="G59" s="64">
        <v>0.700738365932569</v>
      </c>
    </row>
    <row r="60" spans="1:11" x14ac:dyDescent="0.2">
      <c r="F60" s="76">
        <v>9.5</v>
      </c>
      <c r="G60" s="64">
        <v>0.12349860455094408</v>
      </c>
    </row>
    <row r="81" spans="1:11" customFormat="1" ht="23.25" x14ac:dyDescent="0.2">
      <c r="A81" s="45" t="s">
        <v>6</v>
      </c>
      <c r="B81" s="12" t="s">
        <v>760</v>
      </c>
      <c r="C81" s="8"/>
      <c r="D81" s="8"/>
      <c r="E81" s="8"/>
      <c r="F81" s="8"/>
      <c r="G81" s="8"/>
      <c r="H81" s="8"/>
      <c r="I81" s="8"/>
      <c r="J81" s="8"/>
      <c r="K81" s="7"/>
    </row>
    <row r="82" spans="1:11" customFormat="1" ht="18" customHeight="1" x14ac:dyDescent="0.2">
      <c r="A82" s="45"/>
      <c r="B82" s="38" t="s">
        <v>217</v>
      </c>
      <c r="C82" s="7"/>
      <c r="D82" s="7"/>
      <c r="E82" s="7"/>
      <c r="F82" s="7"/>
      <c r="I82" s="7"/>
      <c r="J82" s="7"/>
      <c r="K82" s="7"/>
    </row>
    <row r="83" spans="1:11" customFormat="1" ht="18" customHeight="1" x14ac:dyDescent="0.2">
      <c r="A83" s="45"/>
      <c r="B83" s="41" t="s">
        <v>488</v>
      </c>
      <c r="C83" s="7"/>
      <c r="D83" s="7"/>
      <c r="E83" s="7"/>
      <c r="F83" s="7"/>
      <c r="G83" s="7"/>
      <c r="H83" s="7"/>
      <c r="I83" s="7"/>
      <c r="J83" s="7"/>
      <c r="K83" s="7"/>
    </row>
    <row r="85" spans="1:11" ht="15.75" x14ac:dyDescent="0.2">
      <c r="B85" s="5"/>
      <c r="C85" s="24" t="str">
        <f>"Polynomial Interpolation, n="&amp;D87</f>
        <v>Polynomial Interpolation, n=3</v>
      </c>
      <c r="D85" s="5"/>
      <c r="E85" s="5"/>
      <c r="F85" s="5"/>
      <c r="G85" s="5"/>
      <c r="H85" s="5"/>
      <c r="I85" s="5"/>
    </row>
    <row r="86" spans="1:11" x14ac:dyDescent="0.2">
      <c r="B86" s="5"/>
      <c r="C86" s="5"/>
      <c r="D86" s="5"/>
      <c r="E86" s="5"/>
      <c r="F86" s="5"/>
      <c r="G86" s="5"/>
      <c r="H86" s="5"/>
      <c r="I86" s="5"/>
    </row>
    <row r="87" spans="1:11" x14ac:dyDescent="0.2">
      <c r="C87" s="75" t="s">
        <v>203</v>
      </c>
      <c r="D87" s="76">
        <v>3</v>
      </c>
      <c r="F87" s="77" t="s">
        <v>213</v>
      </c>
      <c r="G87" s="40" t="s">
        <v>218</v>
      </c>
      <c r="H87" s="79" t="s">
        <v>219</v>
      </c>
    </row>
    <row r="88" spans="1:11" x14ac:dyDescent="0.2">
      <c r="F88" s="76" cm="1">
        <f t="array" ref="F88:F117">L.LINSPACE(MIN(C90:C97),MAX(C90:C97),30)</f>
        <v>1</v>
      </c>
      <c r="G88" s="16" cm="1">
        <f t="array" ref="G88:G117">L.PINTERP(_xlfn.ANCHORARRAY(F88),C90:C97,D90:D97,D87)</f>
        <v>0.54030230586813999</v>
      </c>
      <c r="H88" s="7">
        <f>COS(F88)</f>
        <v>0.54030230586813977</v>
      </c>
    </row>
    <row r="89" spans="1:11" x14ac:dyDescent="0.2">
      <c r="B89" s="77" t="s">
        <v>443</v>
      </c>
      <c r="C89" s="77" t="s">
        <v>210</v>
      </c>
      <c r="D89" s="77" t="s">
        <v>211</v>
      </c>
      <c r="F89" s="76">
        <v>1.2166615623165375</v>
      </c>
      <c r="G89" s="7">
        <v>0.33530680938479662</v>
      </c>
      <c r="H89" s="7">
        <f t="shared" ref="H89:H117" si="1">COS(F89)</f>
        <v>0.34677895017942628</v>
      </c>
    </row>
    <row r="90" spans="1:11" x14ac:dyDescent="0.2">
      <c r="B90" s="76">
        <v>1</v>
      </c>
      <c r="C90" s="76" cm="1">
        <f t="array" ref="C90:C97">L.LINSPACE(B90,B92,8)</f>
        <v>1</v>
      </c>
      <c r="D90" s="76">
        <f>COS(C90)</f>
        <v>0.54030230586813977</v>
      </c>
      <c r="F90" s="76">
        <v>1.4333231246330751</v>
      </c>
      <c r="G90" s="7">
        <v>0.12377340510510854</v>
      </c>
      <c r="H90" s="7">
        <f t="shared" si="1"/>
        <v>0.13704059619744383</v>
      </c>
    </row>
    <row r="91" spans="1:11" x14ac:dyDescent="0.2">
      <c r="B91" s="77" t="s">
        <v>474</v>
      </c>
      <c r="C91" s="76">
        <v>1.8975979010256552</v>
      </c>
      <c r="D91" s="76">
        <f t="shared" ref="D91:D97" si="2">COS(C91)</f>
        <v>-0.32101552987664739</v>
      </c>
      <c r="F91" s="76">
        <v>1.6499846869496126</v>
      </c>
      <c r="G91" s="7">
        <v>-8.7736320167409121E-2</v>
      </c>
      <c r="H91" s="7">
        <f t="shared" si="1"/>
        <v>-7.9105623753047929E-2</v>
      </c>
    </row>
    <row r="92" spans="1:11" x14ac:dyDescent="0.2">
      <c r="B92" s="76">
        <f>B90+2*PI()</f>
        <v>7.2831853071795862</v>
      </c>
      <c r="C92" s="76">
        <v>2.7951958020513104</v>
      </c>
      <c r="D92" s="76">
        <f t="shared" si="2"/>
        <v>-0.94060212410087418</v>
      </c>
      <c r="F92" s="76">
        <v>1.8666462492661502</v>
      </c>
      <c r="G92" s="7">
        <v>-0.2926607796292417</v>
      </c>
      <c r="H92" s="7">
        <f t="shared" si="1"/>
        <v>-0.29155295265643322</v>
      </c>
    </row>
    <row r="93" spans="1:11" x14ac:dyDescent="0.2">
      <c r="C93" s="76">
        <v>3.6927937030769655</v>
      </c>
      <c r="D93" s="76">
        <f t="shared" si="2"/>
        <v>-0.8518961340904686</v>
      </c>
      <c r="F93" s="76">
        <v>2.0833078115826877</v>
      </c>
      <c r="G93" s="7">
        <v>-0.48443838647687398</v>
      </c>
      <c r="H93" s="7">
        <f t="shared" si="1"/>
        <v>-0.49036758953143689</v>
      </c>
    </row>
    <row r="94" spans="1:11" x14ac:dyDescent="0.2">
      <c r="C94" s="76">
        <v>4.5903916041026207</v>
      </c>
      <c r="D94" s="76">
        <f t="shared" si="2"/>
        <v>-0.12169497959570048</v>
      </c>
      <c r="F94" s="76">
        <v>2.2999693738992253</v>
      </c>
      <c r="G94" s="7">
        <v>-0.65650755390679127</v>
      </c>
      <c r="H94" s="7">
        <f t="shared" si="1"/>
        <v>-0.66625318292438196</v>
      </c>
    </row>
    <row r="95" spans="1:11" x14ac:dyDescent="0.2">
      <c r="C95" s="76">
        <v>5.4879895051282759</v>
      </c>
      <c r="D95" s="76">
        <f t="shared" si="2"/>
        <v>0.70014497665981668</v>
      </c>
      <c r="F95" s="76">
        <v>2.5166309362157628</v>
      </c>
      <c r="G95" s="7">
        <v>-0.80230669511547847</v>
      </c>
      <c r="H95" s="7">
        <f t="shared" si="1"/>
        <v>-0.81098551797101093</v>
      </c>
    </row>
    <row r="96" spans="1:11" x14ac:dyDescent="0.2">
      <c r="C96" s="76">
        <v>6.3855874061539311</v>
      </c>
      <c r="D96" s="76">
        <f t="shared" si="2"/>
        <v>0.99476148513573404</v>
      </c>
      <c r="F96" s="76">
        <v>2.7332924985323004</v>
      </c>
      <c r="G96" s="7">
        <v>-0.91527422329942054</v>
      </c>
      <c r="H96" s="7">
        <f t="shared" si="1"/>
        <v>-0.9177970715429804</v>
      </c>
    </row>
    <row r="97" spans="3:8" x14ac:dyDescent="0.2">
      <c r="C97" s="76">
        <v>7.2831853071795862</v>
      </c>
      <c r="D97" s="76">
        <f t="shared" si="2"/>
        <v>0.54030230586813988</v>
      </c>
      <c r="F97" s="76">
        <v>2.9499540608488379</v>
      </c>
      <c r="G97" s="7">
        <v>-0.97397775094676053</v>
      </c>
      <c r="H97" s="7">
        <f t="shared" si="1"/>
        <v>-0.98169345410778042</v>
      </c>
    </row>
    <row r="98" spans="3:8" x14ac:dyDescent="0.2">
      <c r="F98" s="76">
        <v>3.1666156231653755</v>
      </c>
      <c r="G98" s="7">
        <v>-0.98598295192690844</v>
      </c>
      <c r="H98" s="7">
        <f t="shared" si="1"/>
        <v>-0.99968694183240958</v>
      </c>
    </row>
    <row r="99" spans="3:8" x14ac:dyDescent="0.2">
      <c r="F99" s="76">
        <v>3.383277185481913</v>
      </c>
      <c r="G99" s="7">
        <v>-0.95833064831956793</v>
      </c>
      <c r="H99" s="7">
        <f t="shared" si="1"/>
        <v>-0.9709361792291894</v>
      </c>
    </row>
    <row r="100" spans="3:8" x14ac:dyDescent="0.2">
      <c r="F100" s="76">
        <v>3.5999387477984506</v>
      </c>
      <c r="G100" s="7">
        <v>-0.89196026014910845</v>
      </c>
      <c r="H100" s="7">
        <f t="shared" si="1"/>
        <v>-0.89678552000326894</v>
      </c>
    </row>
    <row r="101" spans="3:8" x14ac:dyDescent="0.2">
      <c r="F101" s="76">
        <v>3.8166003101149881</v>
      </c>
      <c r="G101" s="7">
        <v>-0.77691767270557854</v>
      </c>
      <c r="H101" s="7">
        <f t="shared" si="1"/>
        <v>-0.78070216656751368</v>
      </c>
    </row>
    <row r="102" spans="3:8" x14ac:dyDescent="0.2">
      <c r="F102" s="76">
        <v>4.0332618724315257</v>
      </c>
      <c r="G102" s="7">
        <v>-0.62067842685394026</v>
      </c>
      <c r="H102" s="7">
        <f t="shared" si="1"/>
        <v>-0.62811404751119881</v>
      </c>
    </row>
    <row r="103" spans="3:8" x14ac:dyDescent="0.2">
      <c r="F103" s="76">
        <v>4.2499234347480632</v>
      </c>
      <c r="G103" s="7">
        <v>-0.43921502055192463</v>
      </c>
      <c r="H103" s="7">
        <f t="shared" si="1"/>
        <v>-0.4461560136918839</v>
      </c>
    </row>
    <row r="104" spans="3:8" x14ac:dyDescent="0.2">
      <c r="F104" s="76">
        <v>4.4665849970646008</v>
      </c>
      <c r="G104" s="7">
        <v>-0.24026047821275903</v>
      </c>
      <c r="H104" s="7">
        <f t="shared" si="1"/>
        <v>-0.24333622053913048</v>
      </c>
    </row>
    <row r="105" spans="3:8" x14ac:dyDescent="0.2">
      <c r="F105" s="76">
        <v>4.6832465593811383</v>
      </c>
      <c r="G105" s="7">
        <v>-3.0370799815878244E-2</v>
      </c>
      <c r="H105" s="7">
        <f t="shared" si="1"/>
        <v>-2.9138296162751758E-2</v>
      </c>
    </row>
    <row r="106" spans="3:8" x14ac:dyDescent="0.2">
      <c r="F106" s="76">
        <v>4.8999081216976759</v>
      </c>
      <c r="G106" s="7">
        <v>0.18268420821193429</v>
      </c>
      <c r="H106" s="7">
        <f t="shared" si="1"/>
        <v>0.18642210255730707</v>
      </c>
    </row>
    <row r="107" spans="3:8" x14ac:dyDescent="0.2">
      <c r="F107" s="76">
        <v>5.1165696840142134</v>
      </c>
      <c r="G107" s="7">
        <v>0.38864488006471903</v>
      </c>
      <c r="H107" s="7">
        <f t="shared" si="1"/>
        <v>0.39326561095507173</v>
      </c>
    </row>
    <row r="108" spans="3:8" x14ac:dyDescent="0.2">
      <c r="F108" s="76">
        <v>5.333231246330751</v>
      </c>
      <c r="G108" s="7">
        <v>0.57880771204850212</v>
      </c>
      <c r="H108" s="7">
        <f t="shared" si="1"/>
        <v>0.58172045646791082</v>
      </c>
    </row>
    <row r="109" spans="3:8" x14ac:dyDescent="0.2">
      <c r="F109" s="76">
        <v>5.5498928086472885</v>
      </c>
      <c r="G109" s="7">
        <v>0.73992757134667853</v>
      </c>
      <c r="H109" s="7">
        <f t="shared" si="1"/>
        <v>0.74297469997216081</v>
      </c>
    </row>
    <row r="110" spans="3:8" x14ac:dyDescent="0.2">
      <c r="F110" s="76">
        <v>5.7665543709638261</v>
      </c>
      <c r="G110" s="7">
        <v>0.8583686473686547</v>
      </c>
      <c r="H110" s="7">
        <f t="shared" si="1"/>
        <v>0.86948827226278247</v>
      </c>
    </row>
    <row r="111" spans="3:8" x14ac:dyDescent="0.2">
      <c r="F111" s="76">
        <v>5.9832159332803636</v>
      </c>
      <c r="G111" s="7">
        <v>0.94208007653676651</v>
      </c>
      <c r="H111" s="7">
        <f t="shared" si="1"/>
        <v>0.95534553930920274</v>
      </c>
    </row>
    <row r="112" spans="3:8" x14ac:dyDescent="0.2">
      <c r="F112" s="76">
        <v>6.1998774955969012</v>
      </c>
      <c r="G112" s="7">
        <v>0.9879417916769756</v>
      </c>
      <c r="H112" s="7">
        <f t="shared" si="1"/>
        <v>0.99653191072782954</v>
      </c>
    </row>
    <row r="113" spans="1:11" x14ac:dyDescent="0.2">
      <c r="F113" s="76">
        <v>6.4165390579134387</v>
      </c>
      <c r="G113" s="7">
        <v>0.99283372561524386</v>
      </c>
      <c r="H113" s="7">
        <f t="shared" si="1"/>
        <v>0.9911215575664919</v>
      </c>
    </row>
    <row r="114" spans="1:11" x14ac:dyDescent="0.2">
      <c r="F114" s="76">
        <v>6.6332006202299763</v>
      </c>
      <c r="G114" s="7">
        <v>0.95363581117753227</v>
      </c>
      <c r="H114" s="7">
        <f t="shared" si="1"/>
        <v>0.93936746192583853</v>
      </c>
    </row>
    <row r="115" spans="1:11" x14ac:dyDescent="0.2">
      <c r="F115" s="76">
        <v>6.8498621825465138</v>
      </c>
      <c r="G115" s="7">
        <v>0.86722798118980315</v>
      </c>
      <c r="H115" s="7">
        <f t="shared" si="1"/>
        <v>0.84368958779748016</v>
      </c>
    </row>
    <row r="116" spans="1:11" x14ac:dyDescent="0.2">
      <c r="F116" s="76">
        <v>7.0665237448630513</v>
      </c>
      <c r="G116" s="7">
        <v>0.73049016847801751</v>
      </c>
      <c r="H116" s="7">
        <f t="shared" si="1"/>
        <v>0.7085617262373396</v>
      </c>
    </row>
    <row r="117" spans="1:11" x14ac:dyDescent="0.2">
      <c r="F117" s="76">
        <v>7.2831853071795889</v>
      </c>
      <c r="G117" s="7">
        <v>0.54030230586813732</v>
      </c>
      <c r="H117" s="7">
        <f t="shared" si="1"/>
        <v>0.54030230586813766</v>
      </c>
    </row>
    <row r="120" spans="1:11" customFormat="1" ht="23.25" x14ac:dyDescent="0.2">
      <c r="A120" s="45" t="s">
        <v>6</v>
      </c>
      <c r="B120" s="12" t="s">
        <v>768</v>
      </c>
      <c r="C120" s="8"/>
      <c r="D120" s="8"/>
      <c r="E120" s="8"/>
      <c r="F120" s="8"/>
      <c r="G120" s="8"/>
      <c r="H120" s="8"/>
      <c r="I120" s="8"/>
      <c r="J120" s="8"/>
      <c r="K120" s="7"/>
    </row>
    <row r="121" spans="1:11" customFormat="1" ht="18" customHeight="1" x14ac:dyDescent="0.2">
      <c r="A121" s="45"/>
      <c r="B121" s="38" t="s">
        <v>220</v>
      </c>
      <c r="C121" s="7"/>
      <c r="D121" s="7"/>
      <c r="E121" s="7"/>
      <c r="F121" s="7"/>
      <c r="I121" s="7"/>
      <c r="J121" s="7"/>
      <c r="K121" s="7"/>
    </row>
    <row r="122" spans="1:11" customFormat="1" ht="18" customHeight="1" x14ac:dyDescent="0.2">
      <c r="A122" s="45"/>
      <c r="B122" s="41" t="s">
        <v>489</v>
      </c>
      <c r="C122" s="7"/>
      <c r="D122" s="7"/>
      <c r="E122" s="7"/>
      <c r="F122" s="7"/>
      <c r="G122" s="7"/>
      <c r="H122" s="7"/>
      <c r="I122" s="7"/>
      <c r="J122" s="7"/>
      <c r="K122" s="7"/>
    </row>
    <row r="124" spans="1:11" x14ac:dyDescent="0.2">
      <c r="B124" s="5"/>
      <c r="C124" s="77" t="s">
        <v>221</v>
      </c>
      <c r="D124" s="76">
        <v>1</v>
      </c>
      <c r="E124" s="76">
        <v>-2</v>
      </c>
      <c r="F124" s="76">
        <v>53</v>
      </c>
      <c r="G124" s="5"/>
      <c r="H124" s="5"/>
      <c r="I124" s="5"/>
      <c r="J124" s="5"/>
    </row>
    <row r="125" spans="1:11" x14ac:dyDescent="0.2">
      <c r="B125" s="5"/>
      <c r="C125" s="67"/>
      <c r="D125" s="67"/>
      <c r="E125" s="67"/>
      <c r="F125" s="67"/>
      <c r="G125" s="5"/>
      <c r="H125" s="5"/>
      <c r="I125" s="5"/>
      <c r="J125" s="5"/>
    </row>
    <row r="126" spans="1:11" x14ac:dyDescent="0.2">
      <c r="B126" s="5"/>
      <c r="C126"/>
      <c r="D126" s="40" t="s">
        <v>222</v>
      </c>
      <c r="E126" s="45" cm="1">
        <f t="array" ref="E126:F126">L.POLYDER(D124:F124)</f>
        <v>2</v>
      </c>
      <c r="F126" s="45">
        <v>-2</v>
      </c>
      <c r="G126" s="5"/>
      <c r="H126" s="5"/>
      <c r="I126" s="5"/>
      <c r="J126" s="5"/>
    </row>
    <row r="127" spans="1:11" x14ac:dyDescent="0.2">
      <c r="B127" s="5"/>
      <c r="C127" s="5"/>
      <c r="D127" s="5"/>
      <c r="E127" s="5"/>
      <c r="F127" s="5"/>
      <c r="G127" s="5"/>
      <c r="H127" s="5"/>
      <c r="I127" s="5"/>
      <c r="J127" s="5"/>
    </row>
    <row r="128" spans="1:11" x14ac:dyDescent="0.2">
      <c r="B128" s="5"/>
      <c r="C128" s="80" t="s">
        <v>237</v>
      </c>
      <c r="D128" s="5"/>
      <c r="E128" s="5"/>
      <c r="F128" s="5"/>
      <c r="G128" s="5"/>
      <c r="H128" s="5"/>
      <c r="I128" s="5"/>
      <c r="J128" s="5"/>
    </row>
    <row r="129" spans="1:11" ht="18.75" x14ac:dyDescent="0.2">
      <c r="C129" s="77" t="s">
        <v>223</v>
      </c>
      <c r="D129" s="77" t="s">
        <v>224</v>
      </c>
      <c r="E129" s="77" t="s">
        <v>225</v>
      </c>
      <c r="F129" s="77" t="s">
        <v>226</v>
      </c>
      <c r="G129" s="77" t="s">
        <v>227</v>
      </c>
      <c r="H129" s="77" t="s">
        <v>228</v>
      </c>
    </row>
    <row r="130" spans="1:11" ht="16.5" x14ac:dyDescent="0.2">
      <c r="B130" s="72" t="s">
        <v>229</v>
      </c>
      <c r="C130" s="76">
        <v>0</v>
      </c>
      <c r="D130" s="76">
        <v>0</v>
      </c>
      <c r="E130" s="76">
        <v>1</v>
      </c>
      <c r="F130" s="76">
        <v>-1</v>
      </c>
      <c r="G130" s="76">
        <v>1</v>
      </c>
      <c r="H130" s="76">
        <v>1</v>
      </c>
    </row>
    <row r="131" spans="1:11" ht="16.5" x14ac:dyDescent="0.2">
      <c r="B131" s="72" t="s">
        <v>230</v>
      </c>
      <c r="C131" s="76">
        <v>0</v>
      </c>
      <c r="D131" s="76">
        <v>0</v>
      </c>
      <c r="E131" s="76">
        <v>0</v>
      </c>
      <c r="F131" s="76">
        <v>1</v>
      </c>
      <c r="G131" s="76">
        <v>-2</v>
      </c>
      <c r="H131" s="76">
        <v>53</v>
      </c>
    </row>
    <row r="132" spans="1:11" ht="16.5" x14ac:dyDescent="0.2">
      <c r="B132" s="72" t="s">
        <v>231</v>
      </c>
      <c r="C132" s="76">
        <v>0</v>
      </c>
      <c r="D132" s="76">
        <v>-1</v>
      </c>
      <c r="E132" s="76">
        <v>6</v>
      </c>
      <c r="F132" s="76">
        <v>1</v>
      </c>
      <c r="G132" s="76">
        <v>4</v>
      </c>
      <c r="H132" s="76">
        <v>77</v>
      </c>
    </row>
    <row r="133" spans="1:11" ht="16.5" x14ac:dyDescent="0.2">
      <c r="B133" s="72" t="s">
        <v>232</v>
      </c>
      <c r="C133" s="76">
        <v>3</v>
      </c>
      <c r="D133" s="76">
        <v>0</v>
      </c>
      <c r="E133" s="76">
        <v>-2</v>
      </c>
      <c r="F133" s="76">
        <v>0</v>
      </c>
      <c r="G133" s="76">
        <v>1</v>
      </c>
      <c r="H133" s="76">
        <v>5</v>
      </c>
    </row>
    <row r="135" spans="1:11" x14ac:dyDescent="0.2">
      <c r="C135"/>
      <c r="D135" s="40" t="s">
        <v>222</v>
      </c>
    </row>
    <row r="136" spans="1:11" ht="16.5" x14ac:dyDescent="0.2">
      <c r="C136" s="72" t="s">
        <v>233</v>
      </c>
      <c r="D136" s="45" cm="1">
        <f t="array" ref="D136:H139">L.POLYDER(C130:H133)</f>
        <v>0</v>
      </c>
      <c r="E136" s="45">
        <v>0</v>
      </c>
      <c r="F136" s="45">
        <v>3</v>
      </c>
      <c r="G136" s="45">
        <v>-2</v>
      </c>
      <c r="H136" s="45">
        <v>1</v>
      </c>
    </row>
    <row r="137" spans="1:11" ht="16.5" x14ac:dyDescent="0.2">
      <c r="C137" s="72" t="s">
        <v>234</v>
      </c>
      <c r="D137" s="45">
        <v>0</v>
      </c>
      <c r="E137" s="45">
        <v>0</v>
      </c>
      <c r="F137" s="45">
        <v>0</v>
      </c>
      <c r="G137" s="45">
        <v>2</v>
      </c>
      <c r="H137" s="45">
        <v>-2</v>
      </c>
    </row>
    <row r="138" spans="1:11" ht="16.5" x14ac:dyDescent="0.2">
      <c r="C138" s="72" t="s">
        <v>235</v>
      </c>
      <c r="D138" s="45">
        <v>0</v>
      </c>
      <c r="E138" s="45">
        <v>-4</v>
      </c>
      <c r="F138" s="45">
        <v>18</v>
      </c>
      <c r="G138" s="45">
        <v>2</v>
      </c>
      <c r="H138" s="45">
        <v>4</v>
      </c>
    </row>
    <row r="139" spans="1:11" ht="16.5" x14ac:dyDescent="0.2">
      <c r="C139" s="72" t="s">
        <v>236</v>
      </c>
      <c r="D139" s="45">
        <v>15</v>
      </c>
      <c r="E139" s="45">
        <v>0</v>
      </c>
      <c r="F139" s="45">
        <v>-6</v>
      </c>
      <c r="G139" s="45">
        <v>0</v>
      </c>
      <c r="H139" s="45">
        <v>1</v>
      </c>
    </row>
    <row r="142" spans="1:11" customFormat="1" ht="23.25" x14ac:dyDescent="0.2">
      <c r="A142" s="45" t="s">
        <v>6</v>
      </c>
      <c r="B142" s="12" t="s">
        <v>767</v>
      </c>
      <c r="C142" s="8"/>
      <c r="D142" s="8"/>
      <c r="E142" s="8"/>
      <c r="F142" s="8"/>
      <c r="G142" s="8"/>
      <c r="H142" s="8"/>
      <c r="I142" s="8"/>
      <c r="J142" s="8"/>
      <c r="K142" s="7"/>
    </row>
    <row r="143" spans="1:11" customFormat="1" ht="18" customHeight="1" x14ac:dyDescent="0.2">
      <c r="A143" s="45"/>
      <c r="B143" s="38" t="s">
        <v>465</v>
      </c>
      <c r="C143" s="7"/>
      <c r="D143" s="7"/>
      <c r="E143" s="7"/>
      <c r="F143" s="7"/>
      <c r="I143" s="7"/>
      <c r="J143" s="7"/>
      <c r="K143" s="7"/>
    </row>
    <row r="144" spans="1:11" customFormat="1" ht="18" customHeight="1" x14ac:dyDescent="0.2">
      <c r="A144" s="45"/>
      <c r="B144" s="41" t="s">
        <v>490</v>
      </c>
      <c r="C144" s="7"/>
      <c r="D144" s="7"/>
      <c r="E144" s="7"/>
      <c r="F144" s="7"/>
      <c r="G144" s="7"/>
      <c r="H144" s="7"/>
      <c r="I144" s="7"/>
      <c r="J144" s="7"/>
      <c r="K144" s="7"/>
    </row>
    <row r="146" spans="2:8" x14ac:dyDescent="0.2">
      <c r="C146" s="7" t="s">
        <v>761</v>
      </c>
    </row>
    <row r="147" spans="2:8" ht="16.5" x14ac:dyDescent="0.2">
      <c r="B147" s="72" t="s">
        <v>459</v>
      </c>
      <c r="C147" s="7" cm="1">
        <f t="array" ref="C147:H150">L.POLYINT(_xlfn.ANCHORARRAY(D136))</f>
        <v>0</v>
      </c>
      <c r="D147" s="7">
        <v>0</v>
      </c>
      <c r="E147" s="7">
        <v>1</v>
      </c>
      <c r="F147" s="7">
        <v>-1</v>
      </c>
      <c r="G147" s="7">
        <v>1</v>
      </c>
      <c r="H147" s="7">
        <v>0</v>
      </c>
    </row>
    <row r="148" spans="2:8" ht="16.5" x14ac:dyDescent="0.2">
      <c r="B148" s="72" t="s">
        <v>460</v>
      </c>
      <c r="C148" s="7">
        <v>0</v>
      </c>
      <c r="D148" s="7">
        <v>0</v>
      </c>
      <c r="E148" s="7">
        <v>0</v>
      </c>
      <c r="F148" s="7">
        <v>1</v>
      </c>
      <c r="G148" s="7">
        <v>-2</v>
      </c>
      <c r="H148" s="7">
        <v>0</v>
      </c>
    </row>
    <row r="149" spans="2:8" ht="16.5" x14ac:dyDescent="0.2">
      <c r="B149" s="72" t="s">
        <v>461</v>
      </c>
      <c r="C149" s="7">
        <v>0</v>
      </c>
      <c r="D149" s="7">
        <v>-1</v>
      </c>
      <c r="E149" s="7">
        <v>6</v>
      </c>
      <c r="F149" s="7">
        <v>1</v>
      </c>
      <c r="G149" s="7">
        <v>4</v>
      </c>
      <c r="H149" s="7">
        <v>0</v>
      </c>
    </row>
    <row r="150" spans="2:8" ht="16.5" x14ac:dyDescent="0.2">
      <c r="B150" s="72" t="s">
        <v>462</v>
      </c>
      <c r="C150" s="7">
        <v>3</v>
      </c>
      <c r="D150" s="7">
        <v>0</v>
      </c>
      <c r="E150" s="7">
        <v>-2</v>
      </c>
      <c r="F150" s="7">
        <v>0</v>
      </c>
      <c r="G150" s="7">
        <v>1</v>
      </c>
      <c r="H150" s="7">
        <v>0</v>
      </c>
    </row>
    <row r="152" spans="2:8" ht="18.75" x14ac:dyDescent="0.2">
      <c r="C152" s="77" t="s">
        <v>224</v>
      </c>
      <c r="D152" s="77" t="s">
        <v>225</v>
      </c>
      <c r="E152" s="77" t="s">
        <v>226</v>
      </c>
      <c r="F152" s="77" t="s">
        <v>227</v>
      </c>
      <c r="G152" s="77" t="s">
        <v>228</v>
      </c>
    </row>
    <row r="153" spans="2:8" x14ac:dyDescent="0.2">
      <c r="B153" s="72" t="s">
        <v>214</v>
      </c>
      <c r="C153" s="76">
        <v>3</v>
      </c>
      <c r="D153" s="76">
        <v>0</v>
      </c>
      <c r="E153" s="76">
        <v>-2</v>
      </c>
      <c r="F153" s="76">
        <v>0</v>
      </c>
      <c r="G153" s="76">
        <v>1</v>
      </c>
    </row>
    <row r="155" spans="2:8" x14ac:dyDescent="0.2">
      <c r="B155" s="72" t="s">
        <v>464</v>
      </c>
      <c r="C155" s="45" cm="1">
        <f t="array" ref="C155:H155">L.POLYINT(C153:G153)</f>
        <v>0.6</v>
      </c>
      <c r="D155" s="45">
        <v>0</v>
      </c>
      <c r="E155" s="45">
        <v>-0.66666666666666663</v>
      </c>
      <c r="F155" s="45">
        <v>0</v>
      </c>
      <c r="G155" s="45">
        <v>1</v>
      </c>
      <c r="H155" s="45">
        <v>0</v>
      </c>
    </row>
    <row r="158" spans="2:8" x14ac:dyDescent="0.2">
      <c r="D158" s="77" t="s">
        <v>125</v>
      </c>
      <c r="E158" s="76">
        <v>0</v>
      </c>
    </row>
    <row r="159" spans="2:8" x14ac:dyDescent="0.2">
      <c r="D159" s="77" t="s">
        <v>126</v>
      </c>
      <c r="E159" s="76">
        <v>2</v>
      </c>
    </row>
    <row r="160" spans="2:8" x14ac:dyDescent="0.2">
      <c r="B160" s="72"/>
    </row>
    <row r="161" spans="1:11" x14ac:dyDescent="0.2">
      <c r="D161" s="56" t="s">
        <v>463</v>
      </c>
      <c r="E161" s="56"/>
    </row>
    <row r="162" spans="1:11" x14ac:dyDescent="0.2">
      <c r="D162" s="16" t="s">
        <v>762</v>
      </c>
      <c r="E162" s="7" cm="1">
        <f t="array" ref="E162">L.POLYINT(C153:G153,,E158,E159)</f>
        <v>15.866666666666667</v>
      </c>
    </row>
    <row r="163" spans="1:11" x14ac:dyDescent="0.2">
      <c r="D163" s="16" t="s">
        <v>763</v>
      </c>
      <c r="E163" s="7" cm="1">
        <f t="array" ref="E163">L.POLYVAL(_xlfn.ANCHORARRAY(C155),E159)-L.POLYVAL(_xlfn.ANCHORARRAY(C155),E158)</f>
        <v>15.866666666666667</v>
      </c>
    </row>
    <row r="167" spans="1:11" customFormat="1" ht="23.25" x14ac:dyDescent="0.2">
      <c r="A167" s="45" t="s">
        <v>6</v>
      </c>
      <c r="B167" s="12" t="s">
        <v>764</v>
      </c>
      <c r="C167" s="8"/>
      <c r="D167" s="8"/>
      <c r="E167" s="8"/>
      <c r="F167" s="8"/>
      <c r="G167" s="8"/>
      <c r="H167" s="8"/>
      <c r="I167" s="8"/>
      <c r="J167" s="8"/>
      <c r="K167" s="7"/>
    </row>
    <row r="168" spans="1:11" customFormat="1" ht="18" customHeight="1" x14ac:dyDescent="0.2">
      <c r="A168" s="45"/>
      <c r="B168" s="38" t="s">
        <v>555</v>
      </c>
      <c r="C168" s="7"/>
      <c r="D168" s="7"/>
      <c r="E168" s="7"/>
      <c r="F168" s="7"/>
      <c r="I168" s="7"/>
      <c r="J168" s="7"/>
      <c r="K168" s="7"/>
    </row>
    <row r="169" spans="1:11" customFormat="1" ht="18" customHeight="1" x14ac:dyDescent="0.2">
      <c r="A169" s="45"/>
      <c r="B169" s="41" t="s">
        <v>556</v>
      </c>
      <c r="C169" s="7"/>
      <c r="D169" s="7"/>
      <c r="E169" s="7"/>
      <c r="F169" s="7"/>
      <c r="G169" s="7"/>
      <c r="H169" s="7"/>
      <c r="I169" s="7"/>
      <c r="J169" s="7"/>
      <c r="K169" s="7"/>
    </row>
    <row r="171" spans="1:11" x14ac:dyDescent="0.2">
      <c r="C171" s="77" t="s">
        <v>240</v>
      </c>
      <c r="D171" s="76">
        <v>1</v>
      </c>
      <c r="E171" s="76">
        <v>2</v>
      </c>
      <c r="F171" s="76">
        <v>0</v>
      </c>
      <c r="G171" s="76">
        <v>4</v>
      </c>
      <c r="H171" s="76">
        <v>5</v>
      </c>
    </row>
    <row r="172" spans="1:11" x14ac:dyDescent="0.2">
      <c r="C172" s="77" t="s">
        <v>241</v>
      </c>
      <c r="D172" s="76">
        <v>-3</v>
      </c>
      <c r="E172" s="76">
        <v>0</v>
      </c>
      <c r="F172" s="76">
        <v>3</v>
      </c>
    </row>
    <row r="174" spans="1:11" x14ac:dyDescent="0.2">
      <c r="C174" s="40" t="s">
        <v>557</v>
      </c>
      <c r="D174" s="45" cm="1">
        <f t="array" ref="D174:H174">L.POLYADD(D171:H171,D172:F172)</f>
        <v>1</v>
      </c>
      <c r="E174" s="45">
        <v>2</v>
      </c>
      <c r="F174" s="45">
        <v>-3</v>
      </c>
      <c r="G174" s="45">
        <v>4</v>
      </c>
      <c r="H174" s="45">
        <v>8</v>
      </c>
    </row>
    <row r="178" spans="1:11" customFormat="1" ht="23.25" x14ac:dyDescent="0.2">
      <c r="A178" s="45" t="s">
        <v>6</v>
      </c>
      <c r="B178" s="12" t="s">
        <v>765</v>
      </c>
      <c r="C178" s="8"/>
      <c r="D178" s="8"/>
      <c r="E178" s="8"/>
      <c r="F178" s="8"/>
      <c r="G178" s="8"/>
      <c r="H178" s="8"/>
      <c r="I178" s="8"/>
      <c r="J178" s="8"/>
      <c r="K178" s="7"/>
    </row>
    <row r="179" spans="1:11" customFormat="1" ht="18" customHeight="1" x14ac:dyDescent="0.2">
      <c r="A179" s="45"/>
      <c r="B179" s="38" t="s">
        <v>555</v>
      </c>
      <c r="C179" s="7"/>
      <c r="D179" s="7"/>
      <c r="E179" s="7"/>
      <c r="F179" s="7"/>
      <c r="I179" s="7"/>
      <c r="J179" s="7"/>
      <c r="K179" s="7"/>
    </row>
    <row r="180" spans="1:11" customFormat="1" ht="18" customHeight="1" x14ac:dyDescent="0.2">
      <c r="A180" s="45"/>
      <c r="B180" s="41" t="s">
        <v>558</v>
      </c>
      <c r="C180" s="7"/>
      <c r="D180" s="7"/>
      <c r="E180" s="7"/>
      <c r="F180" s="7"/>
      <c r="G180" s="7"/>
      <c r="H180" s="7"/>
      <c r="I180" s="7"/>
      <c r="J180" s="7"/>
      <c r="K180" s="7"/>
    </row>
    <row r="182" spans="1:11" x14ac:dyDescent="0.2">
      <c r="C182" s="77" t="s">
        <v>240</v>
      </c>
      <c r="D182" s="76">
        <v>1</v>
      </c>
      <c r="E182" s="76">
        <v>2</v>
      </c>
      <c r="F182" s="76">
        <v>4</v>
      </c>
    </row>
    <row r="183" spans="1:11" x14ac:dyDescent="0.2">
      <c r="C183" s="77" t="s">
        <v>241</v>
      </c>
      <c r="D183" s="76">
        <v>1</v>
      </c>
      <c r="E183" s="76">
        <v>0</v>
      </c>
      <c r="F183" s="76">
        <v>1</v>
      </c>
    </row>
    <row r="185" spans="1:11" x14ac:dyDescent="0.2">
      <c r="C185" s="40" t="s">
        <v>559</v>
      </c>
      <c r="D185" s="45" cm="1">
        <f t="array" ref="D185:E185">L.POLYSUB(D182:F182,D183:F183,TRUE)</f>
        <v>2</v>
      </c>
      <c r="E185" s="45">
        <v>3</v>
      </c>
      <c r="F185" s="45"/>
      <c r="G185" s="45"/>
      <c r="H185" s="45"/>
    </row>
    <row r="189" spans="1:11" customFormat="1" ht="23.25" x14ac:dyDescent="0.2">
      <c r="A189" s="45" t="s">
        <v>6</v>
      </c>
      <c r="B189" s="12" t="s">
        <v>766</v>
      </c>
      <c r="C189" s="8"/>
      <c r="D189" s="8"/>
      <c r="E189" s="8"/>
      <c r="F189" s="8"/>
      <c r="G189" s="8"/>
      <c r="H189" s="8"/>
      <c r="I189" s="8"/>
      <c r="J189" s="8"/>
      <c r="K189" s="7"/>
    </row>
    <row r="190" spans="1:11" customFormat="1" ht="18" customHeight="1" x14ac:dyDescent="0.2">
      <c r="A190" s="45"/>
      <c r="B190" s="38" t="s">
        <v>239</v>
      </c>
      <c r="C190" s="7"/>
      <c r="D190" s="7"/>
      <c r="E190" s="7"/>
      <c r="F190" s="7"/>
      <c r="I190" s="7"/>
      <c r="J190" s="7"/>
      <c r="K190" s="7"/>
    </row>
    <row r="191" spans="1:11" customFormat="1" ht="18" customHeight="1" x14ac:dyDescent="0.2">
      <c r="A191" s="45"/>
      <c r="B191" s="41" t="s">
        <v>491</v>
      </c>
      <c r="C191" s="7"/>
      <c r="D191" s="7"/>
      <c r="E191" s="7"/>
      <c r="F191" s="7"/>
      <c r="G191" s="7"/>
      <c r="H191" s="7"/>
      <c r="I191" s="7"/>
      <c r="J191" s="7"/>
      <c r="K191" s="7"/>
    </row>
    <row r="193" spans="1:11" x14ac:dyDescent="0.2">
      <c r="C193" s="77" t="s">
        <v>240</v>
      </c>
      <c r="D193" s="76">
        <v>1</v>
      </c>
      <c r="E193" s="76">
        <v>2</v>
      </c>
      <c r="F193" s="76">
        <v>3</v>
      </c>
    </row>
    <row r="194" spans="1:11" x14ac:dyDescent="0.2">
      <c r="C194" s="77" t="s">
        <v>241</v>
      </c>
      <c r="D194" s="76">
        <v>4</v>
      </c>
      <c r="E194" s="76">
        <v>5</v>
      </c>
      <c r="F194" s="76">
        <v>6</v>
      </c>
    </row>
    <row r="196" spans="1:11" x14ac:dyDescent="0.2">
      <c r="C196" s="40" t="s">
        <v>242</v>
      </c>
      <c r="D196" s="45" cm="1">
        <f t="array" ref="D196:H196">L.POLYMULT(D193:F193,D194:F194)</f>
        <v>4</v>
      </c>
      <c r="E196" s="45">
        <v>13</v>
      </c>
      <c r="F196" s="45">
        <v>28</v>
      </c>
      <c r="G196" s="45">
        <v>27</v>
      </c>
      <c r="H196" s="45">
        <v>18</v>
      </c>
    </row>
    <row r="198" spans="1:11" x14ac:dyDescent="0.2">
      <c r="C198" s="41" t="s">
        <v>456</v>
      </c>
    </row>
    <row r="200" spans="1:11" x14ac:dyDescent="0.2">
      <c r="C200" s="77" t="s">
        <v>240</v>
      </c>
      <c r="D200" s="76">
        <v>1</v>
      </c>
      <c r="E200" s="122" t="str">
        <f>COMPLEX(2,SQRT(2))</f>
        <v>2+1.4142135623731i</v>
      </c>
    </row>
    <row r="201" spans="1:11" x14ac:dyDescent="0.2">
      <c r="C201" s="77" t="s">
        <v>241</v>
      </c>
      <c r="D201" s="76">
        <v>1</v>
      </c>
      <c r="E201" s="122" t="str">
        <f>IMCONJUGATE(E200)</f>
        <v>2-1.4142135623731i</v>
      </c>
    </row>
    <row r="203" spans="1:11" x14ac:dyDescent="0.2">
      <c r="C203" s="40" t="s">
        <v>242</v>
      </c>
      <c r="D203" s="45" cm="1">
        <f t="array" ref="D203:F203">L.POLYMULT(D200:E200,D201:E201)</f>
        <v>1</v>
      </c>
      <c r="E203" s="45">
        <v>4</v>
      </c>
      <c r="F203" s="45">
        <v>6.0000000000000098</v>
      </c>
    </row>
    <row r="206" spans="1:11" customFormat="1" ht="23.25" x14ac:dyDescent="0.2">
      <c r="A206" s="45" t="s">
        <v>6</v>
      </c>
      <c r="B206" s="12" t="s">
        <v>769</v>
      </c>
      <c r="C206" s="8"/>
      <c r="D206" s="8"/>
      <c r="E206" s="8"/>
      <c r="F206" s="8"/>
      <c r="G206" s="8"/>
      <c r="H206" s="8"/>
      <c r="I206" s="8"/>
      <c r="J206" s="8"/>
      <c r="K206" s="7"/>
    </row>
    <row r="207" spans="1:11" customFormat="1" ht="18" customHeight="1" x14ac:dyDescent="0.2">
      <c r="A207" s="45"/>
      <c r="B207" s="38" t="s">
        <v>560</v>
      </c>
      <c r="C207" s="7"/>
      <c r="D207" s="7"/>
      <c r="E207" s="7"/>
      <c r="F207" s="7"/>
      <c r="I207" s="7"/>
      <c r="J207" s="7"/>
      <c r="K207" s="7"/>
    </row>
    <row r="208" spans="1:11" customFormat="1" ht="18" customHeight="1" x14ac:dyDescent="0.2">
      <c r="A208" s="45"/>
      <c r="B208" s="41" t="s">
        <v>561</v>
      </c>
      <c r="C208" s="7"/>
      <c r="D208" s="7"/>
      <c r="E208" s="7"/>
      <c r="F208" s="7"/>
      <c r="G208" s="7"/>
      <c r="H208" s="7"/>
      <c r="I208" s="7"/>
      <c r="J208" s="7"/>
      <c r="K208" s="7"/>
    </row>
    <row r="210" spans="1:11" x14ac:dyDescent="0.2">
      <c r="C210" s="77" t="s">
        <v>565</v>
      </c>
      <c r="D210" s="76">
        <v>4</v>
      </c>
      <c r="E210" s="76">
        <v>8</v>
      </c>
      <c r="F210" s="76">
        <v>7</v>
      </c>
      <c r="G210" s="76">
        <v>0</v>
      </c>
      <c r="H210" s="76">
        <v>5</v>
      </c>
      <c r="I210" s="76">
        <v>8</v>
      </c>
    </row>
    <row r="211" spans="1:11" x14ac:dyDescent="0.2">
      <c r="C211" s="77" t="s">
        <v>564</v>
      </c>
      <c r="D211" s="76">
        <v>2</v>
      </c>
      <c r="E211" s="76">
        <v>3</v>
      </c>
      <c r="F211" s="76">
        <v>4</v>
      </c>
    </row>
    <row r="213" spans="1:11" x14ac:dyDescent="0.2">
      <c r="D213" s="40" t="s">
        <v>562</v>
      </c>
    </row>
    <row r="214" spans="1:11" x14ac:dyDescent="0.2">
      <c r="C214" s="16" t="s">
        <v>566</v>
      </c>
      <c r="D214" s="45" cm="1">
        <f t="array" ref="D214:G215">L.POLYDIV(D210:I210,D211:F211)</f>
        <v>2</v>
      </c>
      <c r="E214" s="45">
        <v>1</v>
      </c>
      <c r="F214" s="45">
        <v>-2</v>
      </c>
      <c r="G214" s="45">
        <v>1</v>
      </c>
      <c r="H214" s="45"/>
    </row>
    <row r="215" spans="1:11" x14ac:dyDescent="0.2">
      <c r="C215" s="16" t="s">
        <v>563</v>
      </c>
      <c r="D215" s="45">
        <v>0</v>
      </c>
      <c r="E215" s="45">
        <v>0</v>
      </c>
      <c r="F215" s="45">
        <v>10</v>
      </c>
      <c r="G215" s="45">
        <v>4</v>
      </c>
    </row>
    <row r="219" spans="1:11" customFormat="1" ht="23.25" x14ac:dyDescent="0.2">
      <c r="A219" s="45" t="s">
        <v>6</v>
      </c>
      <c r="B219" s="12" t="s">
        <v>770</v>
      </c>
      <c r="C219" s="8"/>
      <c r="D219" s="8"/>
      <c r="E219" s="8"/>
      <c r="F219" s="8"/>
      <c r="G219" s="8"/>
      <c r="H219" s="8"/>
      <c r="I219" s="8"/>
      <c r="J219" s="8"/>
      <c r="K219" s="7"/>
    </row>
    <row r="220" spans="1:11" customFormat="1" ht="18" customHeight="1" x14ac:dyDescent="0.2">
      <c r="A220" s="45"/>
      <c r="B220" s="38" t="s">
        <v>243</v>
      </c>
      <c r="C220" s="7"/>
      <c r="D220" s="7"/>
      <c r="E220" s="7"/>
      <c r="F220" s="7"/>
      <c r="I220" s="7"/>
      <c r="J220" s="7"/>
      <c r="K220" s="7"/>
    </row>
    <row r="221" spans="1:11" customFormat="1" ht="18" customHeight="1" x14ac:dyDescent="0.2">
      <c r="A221" s="45"/>
      <c r="B221" s="41" t="s">
        <v>492</v>
      </c>
      <c r="C221" s="7"/>
      <c r="D221" s="7"/>
      <c r="E221" s="7"/>
      <c r="F221" s="7"/>
      <c r="G221" s="7"/>
      <c r="H221" s="7"/>
      <c r="I221" s="7"/>
      <c r="J221" s="7"/>
      <c r="K221" s="7"/>
    </row>
    <row r="223" spans="1:11" x14ac:dyDescent="0.2">
      <c r="C223" s="77" t="s">
        <v>221</v>
      </c>
      <c r="D223" s="76" cm="1">
        <f t="array" ref="D223:G223">L.POLYMULT(L.POLYMULT({1,1},{1,-4}),{1,2})</f>
        <v>1</v>
      </c>
      <c r="E223" s="76">
        <v>-1</v>
      </c>
      <c r="F223" s="76">
        <v>-10</v>
      </c>
      <c r="G223" s="76">
        <v>-8</v>
      </c>
      <c r="H223" s="7" t="s">
        <v>244</v>
      </c>
    </row>
    <row r="225" spans="1:11" x14ac:dyDescent="0.2">
      <c r="C225" s="40" t="s">
        <v>242</v>
      </c>
      <c r="D225" s="64" cm="1">
        <f t="array" ref="D225:F227">L.POLYCOMPAN(D223:G223)</f>
        <v>1</v>
      </c>
      <c r="E225" s="64">
        <v>10</v>
      </c>
      <c r="F225" s="64">
        <v>8</v>
      </c>
    </row>
    <row r="226" spans="1:11" x14ac:dyDescent="0.2">
      <c r="D226" s="81">
        <v>1</v>
      </c>
      <c r="E226" s="81">
        <v>0</v>
      </c>
      <c r="F226" s="59">
        <v>0</v>
      </c>
    </row>
    <row r="227" spans="1:11" x14ac:dyDescent="0.2">
      <c r="D227" s="81">
        <v>0</v>
      </c>
      <c r="E227" s="81">
        <v>1</v>
      </c>
      <c r="F227" s="59">
        <v>0</v>
      </c>
    </row>
    <row r="230" spans="1:11" customFormat="1" ht="23.25" x14ac:dyDescent="0.2">
      <c r="A230" s="45" t="s">
        <v>6</v>
      </c>
      <c r="B230" s="12" t="s">
        <v>771</v>
      </c>
      <c r="C230" s="8"/>
      <c r="D230" s="8"/>
      <c r="E230" s="8"/>
      <c r="F230" s="8"/>
      <c r="G230" s="8"/>
      <c r="H230" s="8"/>
      <c r="I230" s="8"/>
      <c r="J230" s="8"/>
      <c r="K230" s="7"/>
    </row>
    <row r="231" spans="1:11" customFormat="1" ht="18" customHeight="1" x14ac:dyDescent="0.2">
      <c r="A231" s="45"/>
      <c r="B231" s="38" t="s">
        <v>321</v>
      </c>
      <c r="C231" s="7"/>
      <c r="D231" s="7"/>
      <c r="E231" s="7"/>
      <c r="F231" s="7"/>
      <c r="I231" s="7"/>
      <c r="J231" s="7"/>
      <c r="K231" s="7"/>
    </row>
    <row r="232" spans="1:11" customFormat="1" ht="18" customHeight="1" x14ac:dyDescent="0.2">
      <c r="A232" s="45"/>
      <c r="B232" s="41" t="s">
        <v>493</v>
      </c>
      <c r="C232" s="7"/>
      <c r="D232" s="7"/>
      <c r="E232" s="7"/>
      <c r="F232" s="7"/>
      <c r="G232" s="7"/>
      <c r="H232" s="7"/>
      <c r="I232" s="7"/>
      <c r="J232" s="7"/>
      <c r="K232" s="7"/>
    </row>
    <row r="234" spans="1:11" x14ac:dyDescent="0.2">
      <c r="C234" s="41" t="s">
        <v>322</v>
      </c>
    </row>
    <row r="235" spans="1:11" x14ac:dyDescent="0.2">
      <c r="C235" s="98" t="s">
        <v>323</v>
      </c>
      <c r="D235" s="99" t="s">
        <v>324</v>
      </c>
      <c r="E235" s="100"/>
      <c r="F235" s="100"/>
      <c r="G235" s="100"/>
      <c r="H235" s="100"/>
    </row>
    <row r="236" spans="1:11" ht="18.75" x14ac:dyDescent="0.35">
      <c r="C236" s="101">
        <v>0</v>
      </c>
      <c r="D236" s="76">
        <v>0</v>
      </c>
      <c r="E236" s="76">
        <v>2</v>
      </c>
      <c r="F236" s="76">
        <v>-1</v>
      </c>
      <c r="G236" s="76">
        <v>1</v>
      </c>
      <c r="H236" s="76">
        <v>10</v>
      </c>
      <c r="I236" t="s">
        <v>325</v>
      </c>
    </row>
    <row r="237" spans="1:11" ht="18.75" x14ac:dyDescent="0.35">
      <c r="C237" s="101">
        <v>4</v>
      </c>
      <c r="D237" s="76">
        <v>0</v>
      </c>
      <c r="E237" s="76">
        <v>0</v>
      </c>
      <c r="F237" s="76">
        <v>-5</v>
      </c>
      <c r="G237" s="76">
        <v>0</v>
      </c>
      <c r="H237" s="76">
        <v>126</v>
      </c>
      <c r="I237" t="s">
        <v>326</v>
      </c>
    </row>
    <row r="238" spans="1:11" ht="18.75" x14ac:dyDescent="0.35">
      <c r="C238" s="101">
        <v>10</v>
      </c>
      <c r="D238" s="76">
        <v>-1</v>
      </c>
      <c r="E238" s="76">
        <v>5</v>
      </c>
      <c r="F238" s="76">
        <v>1</v>
      </c>
      <c r="G238" s="76">
        <v>4</v>
      </c>
      <c r="H238" s="76">
        <v>-54</v>
      </c>
      <c r="I238" t="s">
        <v>327</v>
      </c>
    </row>
    <row r="239" spans="1:11" x14ac:dyDescent="0.2">
      <c r="C239" s="101">
        <v>15</v>
      </c>
      <c r="D239" s="76"/>
      <c r="E239" s="76"/>
      <c r="F239" s="76"/>
      <c r="G239" s="76"/>
      <c r="H239" s="76"/>
    </row>
    <row r="259" spans="1:103" x14ac:dyDescent="0.2">
      <c r="C259" s="77" t="s">
        <v>328</v>
      </c>
      <c r="D259" s="76" cm="1">
        <f t="array" ref="D259:CY259">TRANSPOSE(L.LINSPACE(C236,C239,100))</f>
        <v>0</v>
      </c>
      <c r="E259" s="7">
        <v>0.15151515151515152</v>
      </c>
      <c r="F259" s="7">
        <v>0.30303030303030304</v>
      </c>
      <c r="G259" s="7">
        <v>0.45454545454545459</v>
      </c>
      <c r="H259" s="7">
        <v>0.60606060606060608</v>
      </c>
      <c r="I259" s="7">
        <v>0.75757575757575757</v>
      </c>
      <c r="J259" s="7">
        <v>0.90909090909090906</v>
      </c>
      <c r="K259" s="7">
        <v>1.0606060606060606</v>
      </c>
      <c r="L259" s="7">
        <v>1.2121212121212122</v>
      </c>
      <c r="M259" s="7">
        <v>1.3636363636363638</v>
      </c>
      <c r="N259" s="7">
        <v>1.5151515151515154</v>
      </c>
      <c r="O259" s="7">
        <v>1.666666666666667</v>
      </c>
      <c r="P259" s="7">
        <v>1.8181818181818186</v>
      </c>
      <c r="Q259" s="7">
        <v>1.9696969696969702</v>
      </c>
      <c r="R259" s="7">
        <v>2.1212121212121215</v>
      </c>
      <c r="S259" s="7">
        <v>2.2727272727272729</v>
      </c>
      <c r="T259" s="7">
        <v>2.4242424242424243</v>
      </c>
      <c r="U259" s="7">
        <v>2.5757575757575757</v>
      </c>
      <c r="V259" s="7">
        <v>2.7272727272727271</v>
      </c>
      <c r="W259" s="7">
        <v>2.8787878787878785</v>
      </c>
      <c r="X259" s="7">
        <v>3.0303030303030298</v>
      </c>
      <c r="Y259" s="7">
        <v>3.1818181818181812</v>
      </c>
      <c r="Z259" s="7">
        <v>3.3333333333333326</v>
      </c>
      <c r="AA259" s="7">
        <v>3.484848484848484</v>
      </c>
      <c r="AB259" s="7">
        <v>3.6363636363636354</v>
      </c>
      <c r="AC259" s="7">
        <v>3.7878787878787867</v>
      </c>
      <c r="AD259" s="7">
        <v>3.9393939393939381</v>
      </c>
      <c r="AE259" s="7">
        <v>4.0909090909090899</v>
      </c>
      <c r="AF259" s="7">
        <v>4.2424242424242413</v>
      </c>
      <c r="AG259" s="7">
        <v>4.3939393939393927</v>
      </c>
      <c r="AH259" s="7">
        <v>4.5454545454545441</v>
      </c>
      <c r="AI259" s="7">
        <v>4.6969696969696955</v>
      </c>
      <c r="AJ259" s="7">
        <v>4.8484848484848468</v>
      </c>
      <c r="AK259" s="7">
        <v>4.9999999999999982</v>
      </c>
      <c r="AL259" s="7">
        <v>5.1515151515151496</v>
      </c>
      <c r="AM259" s="7">
        <v>5.303030303030301</v>
      </c>
      <c r="AN259" s="7">
        <v>5.4545454545454524</v>
      </c>
      <c r="AO259" s="7">
        <v>5.6060606060606037</v>
      </c>
      <c r="AP259" s="7">
        <v>5.7575757575757551</v>
      </c>
      <c r="AQ259" s="7">
        <v>5.9090909090909065</v>
      </c>
      <c r="AR259" s="7">
        <v>6.0606060606060579</v>
      </c>
      <c r="AS259" s="7">
        <v>6.2121212121212093</v>
      </c>
      <c r="AT259" s="7">
        <v>6.3636363636363606</v>
      </c>
      <c r="AU259" s="7">
        <v>6.515151515151512</v>
      </c>
      <c r="AV259" s="7">
        <v>6.6666666666666634</v>
      </c>
      <c r="AW259" s="7">
        <v>6.8181818181818148</v>
      </c>
      <c r="AX259" s="7">
        <v>6.9696969696969662</v>
      </c>
      <c r="AY259" s="7">
        <v>7.1212121212121176</v>
      </c>
      <c r="AZ259" s="7">
        <v>7.2727272727272689</v>
      </c>
      <c r="BA259" s="7">
        <v>7.4242424242424203</v>
      </c>
      <c r="BB259" s="7">
        <v>7.5757575757575717</v>
      </c>
      <c r="BC259" s="7">
        <v>7.7272727272727231</v>
      </c>
      <c r="BD259" s="7">
        <v>7.8787878787878745</v>
      </c>
      <c r="BE259" s="7">
        <v>8.0303030303030258</v>
      </c>
      <c r="BF259" s="7">
        <v>8.1818181818181781</v>
      </c>
      <c r="BG259" s="7">
        <v>8.3333333333333304</v>
      </c>
      <c r="BH259" s="7">
        <v>8.4848484848484826</v>
      </c>
      <c r="BI259" s="7">
        <v>8.6363636363636349</v>
      </c>
      <c r="BJ259" s="7">
        <v>8.7878787878787872</v>
      </c>
      <c r="BK259" s="7">
        <v>8.9393939393939394</v>
      </c>
      <c r="BL259" s="7">
        <v>9.0909090909090917</v>
      </c>
      <c r="BM259" s="7">
        <v>9.242424242424244</v>
      </c>
      <c r="BN259" s="7">
        <v>9.3939393939393963</v>
      </c>
      <c r="BO259" s="7">
        <v>9.5454545454545485</v>
      </c>
      <c r="BP259" s="7">
        <v>9.6969696969697008</v>
      </c>
      <c r="BQ259" s="7">
        <v>9.8484848484848531</v>
      </c>
      <c r="BR259" s="7">
        <v>10.000000000000005</v>
      </c>
      <c r="BS259" s="7">
        <v>10.151515151515158</v>
      </c>
      <c r="BT259" s="7">
        <v>10.30303030303031</v>
      </c>
      <c r="BU259" s="7">
        <v>10.454545454545462</v>
      </c>
      <c r="BV259" s="7">
        <v>10.606060606060614</v>
      </c>
      <c r="BW259" s="7">
        <v>10.757575757575767</v>
      </c>
      <c r="BX259" s="7">
        <v>10.909090909090919</v>
      </c>
      <c r="BY259" s="7">
        <v>11.060606060606071</v>
      </c>
      <c r="BZ259" s="7">
        <v>11.212121212121223</v>
      </c>
      <c r="CA259" s="7">
        <v>11.363636363636376</v>
      </c>
      <c r="CB259" s="7">
        <v>11.515151515151528</v>
      </c>
      <c r="CC259" s="7">
        <v>11.66666666666668</v>
      </c>
      <c r="CD259" s="7">
        <v>11.818181818181833</v>
      </c>
      <c r="CE259" s="7">
        <v>11.969696969696985</v>
      </c>
      <c r="CF259" s="7">
        <v>12.121212121212137</v>
      </c>
      <c r="CG259" s="7">
        <v>12.272727272727289</v>
      </c>
      <c r="CH259" s="7">
        <v>12.424242424242442</v>
      </c>
      <c r="CI259" s="7">
        <v>12.575757575757594</v>
      </c>
      <c r="CJ259" s="7">
        <v>12.727272727272746</v>
      </c>
      <c r="CK259" s="7">
        <v>12.878787878787898</v>
      </c>
      <c r="CL259" s="7">
        <v>13.030303030303051</v>
      </c>
      <c r="CM259" s="7">
        <v>13.181818181818203</v>
      </c>
      <c r="CN259" s="7">
        <v>13.333333333333355</v>
      </c>
      <c r="CO259" s="7">
        <v>13.484848484848508</v>
      </c>
      <c r="CP259" s="7">
        <v>13.63636363636366</v>
      </c>
      <c r="CQ259" s="7">
        <v>13.787878787878812</v>
      </c>
      <c r="CR259" s="7">
        <v>13.939393939393964</v>
      </c>
      <c r="CS259" s="7">
        <v>14.090909090909117</v>
      </c>
      <c r="CT259" s="7">
        <v>14.242424242424269</v>
      </c>
      <c r="CU259" s="7">
        <v>14.393939393939421</v>
      </c>
      <c r="CV259" s="7">
        <v>14.545454545454573</v>
      </c>
      <c r="CW259" s="7">
        <v>14.696969696969726</v>
      </c>
      <c r="CX259" s="7">
        <v>14.848484848484878</v>
      </c>
      <c r="CY259" s="7">
        <v>15.00000000000003</v>
      </c>
    </row>
    <row r="260" spans="1:103" x14ac:dyDescent="0.2">
      <c r="C260" s="40" t="s">
        <v>329</v>
      </c>
      <c r="D260" s="64" cm="1">
        <f t="array" ref="D260:CY260">L.PPVAL(C236:H239,_xlfn.ANCHORARRAY(D259))</f>
        <v>10</v>
      </c>
      <c r="E260" s="7">
        <v>10.135514928903358</v>
      </c>
      <c r="F260" s="7">
        <v>10.266855886690598</v>
      </c>
      <c r="G260" s="7">
        <v>10.435762584522916</v>
      </c>
      <c r="H260" s="7">
        <v>10.683974733561511</v>
      </c>
      <c r="I260" s="7">
        <v>11.053232044967583</v>
      </c>
      <c r="J260" s="7">
        <v>11.585274229902328</v>
      </c>
      <c r="K260" s="7">
        <v>12.32184099952695</v>
      </c>
      <c r="L260" s="7">
        <v>13.304672065002643</v>
      </c>
      <c r="M260" s="7">
        <v>14.575507137490611</v>
      </c>
      <c r="N260" s="7">
        <v>16.176085928152048</v>
      </c>
      <c r="O260" s="7">
        <v>18.148148148148152</v>
      </c>
      <c r="P260" s="7">
        <v>20.533433508640126</v>
      </c>
      <c r="Q260" s="7">
        <v>23.373681720789168</v>
      </c>
      <c r="R260" s="7">
        <v>26.710632495756471</v>
      </c>
      <c r="S260" s="7">
        <v>30.586025544703237</v>
      </c>
      <c r="T260" s="7">
        <v>35.041600578790664</v>
      </c>
      <c r="U260" s="7">
        <v>40.119097309179949</v>
      </c>
      <c r="V260" s="7">
        <v>45.860255447032294</v>
      </c>
      <c r="W260" s="7">
        <v>52.306814703508898</v>
      </c>
      <c r="X260" s="7">
        <v>59.500514789770968</v>
      </c>
      <c r="Y260" s="7">
        <v>67.483095416979694</v>
      </c>
      <c r="Z260" s="7">
        <v>76.296296296296248</v>
      </c>
      <c r="AA260" s="7">
        <v>85.981857138881864</v>
      </c>
      <c r="AB260" s="7">
        <v>96.581517655897756</v>
      </c>
      <c r="AC260" s="7">
        <v>108.13701755850506</v>
      </c>
      <c r="AD260" s="7">
        <v>120.69009655786505</v>
      </c>
      <c r="AE260" s="7">
        <v>125.95867768595042</v>
      </c>
      <c r="AF260" s="7">
        <v>125.70615243342516</v>
      </c>
      <c r="AG260" s="7">
        <v>125.22405876951332</v>
      </c>
      <c r="AH260" s="7">
        <v>124.51239669421489</v>
      </c>
      <c r="AI260" s="7">
        <v>123.57116620752986</v>
      </c>
      <c r="AJ260" s="7">
        <v>122.40036730945823</v>
      </c>
      <c r="AK260" s="7">
        <v>121.00000000000001</v>
      </c>
      <c r="AL260" s="7">
        <v>119.37006427915522</v>
      </c>
      <c r="AM260" s="7">
        <v>117.51056014692381</v>
      </c>
      <c r="AN260" s="7">
        <v>115.42148760330582</v>
      </c>
      <c r="AO260" s="7">
        <v>113.10284664830124</v>
      </c>
      <c r="AP260" s="7">
        <v>110.55463728191005</v>
      </c>
      <c r="AQ260" s="7">
        <v>107.77685950413228</v>
      </c>
      <c r="AR260" s="7">
        <v>104.76951331496792</v>
      </c>
      <c r="AS260" s="7">
        <v>101.53259871441696</v>
      </c>
      <c r="AT260" s="7">
        <v>98.066115702479408</v>
      </c>
      <c r="AU260" s="7">
        <v>94.370064279155258</v>
      </c>
      <c r="AV260" s="7">
        <v>90.444444444444528</v>
      </c>
      <c r="AW260" s="7">
        <v>86.289256198347204</v>
      </c>
      <c r="AX260" s="7">
        <v>81.904499540863284</v>
      </c>
      <c r="AY260" s="7">
        <v>77.290174471992771</v>
      </c>
      <c r="AZ260" s="7">
        <v>72.446280991735662</v>
      </c>
      <c r="BA260" s="7">
        <v>67.372819100091959</v>
      </c>
      <c r="BB260" s="7">
        <v>62.069788797061676</v>
      </c>
      <c r="BC260" s="7">
        <v>56.537190082644784</v>
      </c>
      <c r="BD260" s="7">
        <v>50.775022956841312</v>
      </c>
      <c r="BE260" s="7">
        <v>44.783287419651231</v>
      </c>
      <c r="BF260" s="7">
        <v>38.561983471074541</v>
      </c>
      <c r="BG260" s="7">
        <v>32.111111111111228</v>
      </c>
      <c r="BH260" s="7">
        <v>25.430670339761349</v>
      </c>
      <c r="BI260" s="7">
        <v>18.520661157024875</v>
      </c>
      <c r="BJ260" s="7">
        <v>11.381083562901779</v>
      </c>
      <c r="BK260" s="7">
        <v>4.0119375573920877</v>
      </c>
      <c r="BL260" s="7">
        <v>-3.5867768595041696</v>
      </c>
      <c r="BM260" s="7">
        <v>-11.41505968778705</v>
      </c>
      <c r="BN260" s="7">
        <v>-19.472910927456496</v>
      </c>
      <c r="BO260" s="7">
        <v>-27.760330578512566</v>
      </c>
      <c r="BP260" s="7">
        <v>-36.277318640955201</v>
      </c>
      <c r="BQ260" s="7">
        <v>-45.02387511478446</v>
      </c>
      <c r="BR260" s="7">
        <v>-53.999999999999979</v>
      </c>
      <c r="BS260" s="7">
        <v>-53.354118023038609</v>
      </c>
      <c r="BT260" s="7">
        <v>-52.565351317667833</v>
      </c>
      <c r="BU260" s="7">
        <v>-51.548323201967023</v>
      </c>
      <c r="BV260" s="7">
        <v>-50.230305391337112</v>
      </c>
      <c r="BW260" s="7">
        <v>-48.551217998500633</v>
      </c>
      <c r="BX260" s="7">
        <v>-46.46362953350166</v>
      </c>
      <c r="BY260" s="7">
        <v>-43.932756903705872</v>
      </c>
      <c r="BZ260" s="7">
        <v>-40.936465413800505</v>
      </c>
      <c r="CA260" s="7">
        <v>-37.465268765794391</v>
      </c>
      <c r="CB260" s="7">
        <v>-33.522329059017913</v>
      </c>
      <c r="CC260" s="7">
        <v>-29.123456790123043</v>
      </c>
      <c r="CD260" s="7">
        <v>-24.297110853083328</v>
      </c>
      <c r="CE260" s="7">
        <v>-19.084398539193899</v>
      </c>
      <c r="CF260" s="7">
        <v>-13.539075537071426</v>
      </c>
      <c r="CG260" s="7">
        <v>-7.7275459326542304</v>
      </c>
      <c r="CH260" s="7">
        <v>-1.72886220920212</v>
      </c>
      <c r="CI260" s="7">
        <v>4.3652747527034848</v>
      </c>
      <c r="CJ260" s="7">
        <v>10.450515675159551</v>
      </c>
      <c r="CK260" s="7">
        <v>16.409862882941525</v>
      </c>
      <c r="CL260" s="7">
        <v>22.113670303503227</v>
      </c>
      <c r="CM260" s="7">
        <v>27.419643466977021</v>
      </c>
      <c r="CN260" s="7">
        <v>32.17283950617346</v>
      </c>
      <c r="CO260" s="7">
        <v>36.205667156581796</v>
      </c>
      <c r="CP260" s="7">
        <v>39.3378867563695</v>
      </c>
      <c r="CQ260" s="7">
        <v>41.376610246382597</v>
      </c>
      <c r="CR260" s="7">
        <v>42.116301170145391</v>
      </c>
      <c r="CS260" s="7">
        <v>41.338774673860712</v>
      </c>
      <c r="CT260" s="7">
        <v>38.813197506409949</v>
      </c>
      <c r="CU260" s="7">
        <v>34.296088019352709</v>
      </c>
      <c r="CV260" s="7">
        <v>27.53131616692707</v>
      </c>
      <c r="CW260" s="7">
        <v>18.250103506049385</v>
      </c>
      <c r="CX260" s="7">
        <v>6.1710231963149127</v>
      </c>
      <c r="CY260" s="7">
        <v>-9.000000000003439</v>
      </c>
    </row>
    <row r="261" spans="1:103" x14ac:dyDescent="0.2">
      <c r="C261" s="40" t="s">
        <v>597</v>
      </c>
      <c r="D261" s="64" cm="1">
        <f t="array" ref="D261:CY261">L.PPVAL(L.PPDER(C236:H239),_xlfn.ANCHORARRAY(D259))</f>
        <v>1</v>
      </c>
      <c r="E261" s="7">
        <v>0.83471074380165289</v>
      </c>
      <c r="F261" s="7">
        <v>0.94490358126721763</v>
      </c>
      <c r="G261" s="7">
        <v>1.3305785123966944</v>
      </c>
      <c r="H261" s="7">
        <v>1.9917355371900827</v>
      </c>
      <c r="I261" s="7">
        <v>2.9283746556473829</v>
      </c>
      <c r="J261" s="7">
        <v>4.1404958677685944</v>
      </c>
      <c r="K261" s="7">
        <v>5.6280991735537178</v>
      </c>
      <c r="L261" s="7">
        <v>7.3911845730027554</v>
      </c>
      <c r="M261" s="7">
        <v>9.4297520661157037</v>
      </c>
      <c r="N261" s="7">
        <v>11.743801652892564</v>
      </c>
      <c r="O261" s="7">
        <v>14.333333333333337</v>
      </c>
      <c r="P261" s="7">
        <v>17.198347107438025</v>
      </c>
      <c r="Q261" s="7">
        <v>20.338842975206621</v>
      </c>
      <c r="R261" s="7">
        <v>23.754820936639128</v>
      </c>
      <c r="S261" s="7">
        <v>27.446280991735541</v>
      </c>
      <c r="T261" s="7">
        <v>31.41322314049587</v>
      </c>
      <c r="U261" s="7">
        <v>35.655647382920115</v>
      </c>
      <c r="V261" s="7">
        <v>40.173553719008261</v>
      </c>
      <c r="W261" s="7">
        <v>44.966942148760317</v>
      </c>
      <c r="X261" s="7">
        <v>50.035812672176291</v>
      </c>
      <c r="Y261" s="7">
        <v>55.380165289256183</v>
      </c>
      <c r="Z261" s="7">
        <v>60.999999999999964</v>
      </c>
      <c r="AA261" s="7">
        <v>66.89531680440767</v>
      </c>
      <c r="AB261" s="7">
        <v>73.066115702479308</v>
      </c>
      <c r="AC261" s="7">
        <v>79.512396694214814</v>
      </c>
      <c r="AD261" s="7">
        <v>86.234159779614259</v>
      </c>
      <c r="AE261" s="7">
        <v>-0.9090909090908994</v>
      </c>
      <c r="AF261" s="7">
        <v>-2.4242424242424132</v>
      </c>
      <c r="AG261" s="7">
        <v>-3.939393939393927</v>
      </c>
      <c r="AH261" s="7">
        <v>-5.4545454545454408</v>
      </c>
      <c r="AI261" s="7">
        <v>-6.9696969696969546</v>
      </c>
      <c r="AJ261" s="7">
        <v>-8.4848484848484684</v>
      </c>
      <c r="AK261" s="7">
        <v>-9.9999999999999822</v>
      </c>
      <c r="AL261" s="7">
        <v>-11.515151515151496</v>
      </c>
      <c r="AM261" s="7">
        <v>-13.03030303030301</v>
      </c>
      <c r="AN261" s="7">
        <v>-14.545454545454524</v>
      </c>
      <c r="AO261" s="7">
        <v>-16.060606060606037</v>
      </c>
      <c r="AP261" s="7">
        <v>-17.575757575757549</v>
      </c>
      <c r="AQ261" s="7">
        <v>-19.090909090909065</v>
      </c>
      <c r="AR261" s="7">
        <v>-20.606060606060581</v>
      </c>
      <c r="AS261" s="7">
        <v>-22.121212121212093</v>
      </c>
      <c r="AT261" s="7">
        <v>-23.636363636363605</v>
      </c>
      <c r="AU261" s="7">
        <v>-25.15151515151512</v>
      </c>
      <c r="AV261" s="7">
        <v>-26.666666666666636</v>
      </c>
      <c r="AW261" s="7">
        <v>-28.181818181818148</v>
      </c>
      <c r="AX261" s="7">
        <v>-29.69696969696966</v>
      </c>
      <c r="AY261" s="7">
        <v>-31.212121212121176</v>
      </c>
      <c r="AZ261" s="7">
        <v>-32.727272727272691</v>
      </c>
      <c r="BA261" s="7">
        <v>-34.242424242424207</v>
      </c>
      <c r="BB261" s="7">
        <v>-35.757575757575715</v>
      </c>
      <c r="BC261" s="7">
        <v>-37.272727272727231</v>
      </c>
      <c r="BD261" s="7">
        <v>-38.787878787878746</v>
      </c>
      <c r="BE261" s="7">
        <v>-40.303030303030255</v>
      </c>
      <c r="BF261" s="7">
        <v>-41.818181818181785</v>
      </c>
      <c r="BG261" s="7">
        <v>-43.3333333333333</v>
      </c>
      <c r="BH261" s="7">
        <v>-44.84848484848483</v>
      </c>
      <c r="BI261" s="7">
        <v>-46.363636363636346</v>
      </c>
      <c r="BJ261" s="7">
        <v>-47.878787878787875</v>
      </c>
      <c r="BK261" s="7">
        <v>-49.393939393939391</v>
      </c>
      <c r="BL261" s="7">
        <v>-50.909090909090921</v>
      </c>
      <c r="BM261" s="7">
        <v>-52.424242424242436</v>
      </c>
      <c r="BN261" s="7">
        <v>-53.939393939393966</v>
      </c>
      <c r="BO261" s="7">
        <v>-55.454545454545482</v>
      </c>
      <c r="BP261" s="7">
        <v>-56.969696969697011</v>
      </c>
      <c r="BQ261" s="7">
        <v>-58.484848484848527</v>
      </c>
      <c r="BR261" s="7">
        <v>4.0000000000000107</v>
      </c>
      <c r="BS261" s="7">
        <v>4.6334696830564983</v>
      </c>
      <c r="BT261" s="7">
        <v>5.8721651779503699</v>
      </c>
      <c r="BU261" s="7">
        <v>7.6326070623592281</v>
      </c>
      <c r="BV261" s="7">
        <v>9.8313159139606725</v>
      </c>
      <c r="BW261" s="7">
        <v>12.384812310432308</v>
      </c>
      <c r="BX261" s="7">
        <v>15.209616829451731</v>
      </c>
      <c r="BY261" s="7">
        <v>18.222250048696544</v>
      </c>
      <c r="BZ261" s="7">
        <v>21.33923254584435</v>
      </c>
      <c r="CA261" s="7">
        <v>24.477084898572752</v>
      </c>
      <c r="CB261" s="7">
        <v>27.552327684559341</v>
      </c>
      <c r="CC261" s="7">
        <v>30.481481481481737</v>
      </c>
      <c r="CD261" s="7">
        <v>33.18106686701752</v>
      </c>
      <c r="CE261" s="7">
        <v>35.567604418844311</v>
      </c>
      <c r="CF261" s="7">
        <v>37.557614714639698</v>
      </c>
      <c r="CG261" s="7">
        <v>39.067618332081281</v>
      </c>
      <c r="CH261" s="7">
        <v>40.014135848846664</v>
      </c>
      <c r="CI261" s="7">
        <v>40.313687842613447</v>
      </c>
      <c r="CJ261" s="7">
        <v>39.882794891059248</v>
      </c>
      <c r="CK261" s="7">
        <v>38.637977571861654</v>
      </c>
      <c r="CL261" s="7">
        <v>36.495756462698282</v>
      </c>
      <c r="CM261" s="7">
        <v>33.372652141246675</v>
      </c>
      <c r="CN261" s="7">
        <v>29.185185185184505</v>
      </c>
      <c r="CO261" s="7">
        <v>23.84987617218933</v>
      </c>
      <c r="CP261" s="7">
        <v>17.283245679938783</v>
      </c>
      <c r="CQ261" s="7">
        <v>9.4018142861104401</v>
      </c>
      <c r="CR261" s="7">
        <v>0.1221025683819299</v>
      </c>
      <c r="CS261" s="7">
        <v>-10.639368895569174</v>
      </c>
      <c r="CT261" s="7">
        <v>-22.966079528065297</v>
      </c>
      <c r="CU261" s="7">
        <v>-36.941508751428813</v>
      </c>
      <c r="CV261" s="7">
        <v>-52.649135987982021</v>
      </c>
      <c r="CW261" s="7">
        <v>-70.172440660047457</v>
      </c>
      <c r="CX261" s="7">
        <v>-89.59490218994749</v>
      </c>
      <c r="CY261" s="7">
        <v>-111.00000000000443</v>
      </c>
    </row>
    <row r="264" spans="1:103" customFormat="1" ht="23.25" x14ac:dyDescent="0.2">
      <c r="A264" s="45" t="s">
        <v>6</v>
      </c>
      <c r="B264" s="12" t="s">
        <v>772</v>
      </c>
      <c r="C264" s="8"/>
      <c r="D264" s="8"/>
      <c r="E264" s="8"/>
      <c r="F264" s="8"/>
      <c r="G264" s="8"/>
      <c r="H264" s="8"/>
      <c r="I264" s="8"/>
      <c r="J264" s="8"/>
      <c r="K264" s="7"/>
    </row>
    <row r="265" spans="1:103" customFormat="1" ht="18" customHeight="1" x14ac:dyDescent="0.2">
      <c r="A265" s="45"/>
      <c r="B265" s="38" t="s">
        <v>415</v>
      </c>
      <c r="C265" s="7"/>
      <c r="D265" s="7"/>
      <c r="E265" s="7"/>
      <c r="F265" s="7"/>
      <c r="I265" s="7"/>
      <c r="J265" s="7"/>
      <c r="K265" s="7"/>
    </row>
    <row r="266" spans="1:103" customFormat="1" ht="18" customHeight="1" x14ac:dyDescent="0.2">
      <c r="A266" s="45"/>
      <c r="B266" s="41" t="s">
        <v>494</v>
      </c>
      <c r="C266" s="7"/>
      <c r="D266" s="7"/>
      <c r="E266" s="7"/>
      <c r="F266" s="7"/>
      <c r="G266" s="7"/>
      <c r="H266" s="7"/>
      <c r="I266" s="7"/>
      <c r="J266" s="7"/>
      <c r="K266" s="7"/>
    </row>
    <row r="268" spans="1:103" x14ac:dyDescent="0.2">
      <c r="D268" s="39" t="s">
        <v>363</v>
      </c>
      <c r="E268" s="42">
        <v>0</v>
      </c>
    </row>
    <row r="270" spans="1:103" x14ac:dyDescent="0.2">
      <c r="C270" s="41" t="s">
        <v>422</v>
      </c>
      <c r="G270" s="41" t="s">
        <v>416</v>
      </c>
    </row>
    <row r="271" spans="1:103" ht="18.75" x14ac:dyDescent="0.2">
      <c r="C271" s="39" t="s">
        <v>328</v>
      </c>
      <c r="D271" s="39" t="s">
        <v>351</v>
      </c>
      <c r="E271" s="39" t="s">
        <v>423</v>
      </c>
      <c r="G271" s="40" t="s">
        <v>417</v>
      </c>
      <c r="H271" s="52" t="s">
        <v>418</v>
      </c>
      <c r="I271" s="52" t="s">
        <v>419</v>
      </c>
      <c r="J271" s="52" t="s">
        <v>420</v>
      </c>
      <c r="K271" s="52" t="s">
        <v>421</v>
      </c>
    </row>
    <row r="272" spans="1:103" x14ac:dyDescent="0.2">
      <c r="C272" s="42">
        <v>2</v>
      </c>
      <c r="D272" s="42">
        <v>4</v>
      </c>
      <c r="E272" s="42">
        <f>(1-$E$104)*(D273-D272)/(C273-C272)</f>
        <v>0</v>
      </c>
      <c r="G272" s="60" cm="1">
        <f t="array" ref="G272:K282">L.CSPLINE(C272:C282,D272:D282,,E272:E282,E268)</f>
        <v>2</v>
      </c>
      <c r="H272" s="94">
        <v>-1</v>
      </c>
      <c r="I272" s="94">
        <v>1</v>
      </c>
      <c r="J272" s="94">
        <v>0</v>
      </c>
      <c r="K272" s="94">
        <v>4</v>
      </c>
    </row>
    <row r="273" spans="3:104" x14ac:dyDescent="0.2">
      <c r="C273" s="42">
        <v>3</v>
      </c>
      <c r="D273" s="42">
        <v>4</v>
      </c>
      <c r="E273" s="7">
        <f t="shared" ref="E273:E281" si="3">(1-$E$104)*0.5*((D274-D273)/(C274-C273)+(D273-D272)/(C273-C272))</f>
        <v>-1</v>
      </c>
      <c r="G273" s="60">
        <v>3</v>
      </c>
      <c r="H273" s="94">
        <v>2.5</v>
      </c>
      <c r="I273" s="94">
        <v>-3.5</v>
      </c>
      <c r="J273" s="94">
        <v>-1</v>
      </c>
      <c r="K273" s="94">
        <v>4</v>
      </c>
    </row>
    <row r="274" spans="3:104" x14ac:dyDescent="0.2">
      <c r="C274" s="42">
        <v>4</v>
      </c>
      <c r="D274" s="42">
        <v>2</v>
      </c>
      <c r="E274" s="7">
        <f t="shared" si="3"/>
        <v>-0.5</v>
      </c>
      <c r="G274" s="60">
        <v>4</v>
      </c>
      <c r="H274" s="94">
        <v>-3</v>
      </c>
      <c r="I274" s="94">
        <v>4.5</v>
      </c>
      <c r="J274" s="94">
        <v>-0.5</v>
      </c>
      <c r="K274" s="94">
        <v>2</v>
      </c>
    </row>
    <row r="275" spans="3:104" x14ac:dyDescent="0.2">
      <c r="C275" s="42">
        <v>5</v>
      </c>
      <c r="D275" s="42">
        <v>3</v>
      </c>
      <c r="E275" s="7">
        <f t="shared" si="3"/>
        <v>-0.5</v>
      </c>
      <c r="G275" s="60">
        <v>5</v>
      </c>
      <c r="H275" s="94">
        <v>2.75</v>
      </c>
      <c r="I275" s="94">
        <v>-4.25</v>
      </c>
      <c r="J275" s="94">
        <v>-0.5</v>
      </c>
      <c r="K275" s="94">
        <v>3</v>
      </c>
    </row>
    <row r="276" spans="3:104" x14ac:dyDescent="0.2">
      <c r="C276" s="42">
        <v>6</v>
      </c>
      <c r="D276" s="42">
        <v>1</v>
      </c>
      <c r="E276" s="7">
        <f t="shared" si="3"/>
        <v>-0.75</v>
      </c>
      <c r="G276" s="60">
        <v>6</v>
      </c>
      <c r="H276" s="94">
        <v>0.25</v>
      </c>
      <c r="I276" s="94">
        <v>1</v>
      </c>
      <c r="J276" s="94">
        <v>-0.75</v>
      </c>
      <c r="K276" s="94">
        <v>1</v>
      </c>
    </row>
    <row r="277" spans="3:104" x14ac:dyDescent="0.2">
      <c r="C277" s="42">
        <v>7</v>
      </c>
      <c r="D277" s="42">
        <v>1.5</v>
      </c>
      <c r="E277" s="7">
        <f t="shared" si="3"/>
        <v>2</v>
      </c>
      <c r="G277" s="60">
        <v>7</v>
      </c>
      <c r="H277" s="94">
        <v>-4.75</v>
      </c>
      <c r="I277" s="94">
        <v>6.25</v>
      </c>
      <c r="J277" s="94">
        <v>2</v>
      </c>
      <c r="K277" s="94">
        <v>1.5</v>
      </c>
    </row>
    <row r="278" spans="3:104" x14ac:dyDescent="0.2">
      <c r="C278" s="42">
        <v>8</v>
      </c>
      <c r="D278" s="42">
        <v>5</v>
      </c>
      <c r="E278" s="7">
        <f t="shared" si="3"/>
        <v>0.25</v>
      </c>
      <c r="G278" s="60">
        <v>8</v>
      </c>
      <c r="H278" s="94">
        <v>4.75</v>
      </c>
      <c r="I278" s="94">
        <v>-8</v>
      </c>
      <c r="J278" s="94">
        <v>0.25</v>
      </c>
      <c r="K278" s="94">
        <v>5</v>
      </c>
    </row>
    <row r="279" spans="3:104" x14ac:dyDescent="0.2">
      <c r="C279" s="42">
        <v>9</v>
      </c>
      <c r="D279" s="42">
        <v>2</v>
      </c>
      <c r="E279" s="7">
        <f t="shared" si="3"/>
        <v>-1.5</v>
      </c>
      <c r="G279" s="60">
        <v>9</v>
      </c>
      <c r="H279" s="94">
        <v>-0.25</v>
      </c>
      <c r="I279" s="94">
        <v>1.75</v>
      </c>
      <c r="J279" s="94">
        <v>-1.5</v>
      </c>
      <c r="K279" s="94">
        <v>2</v>
      </c>
    </row>
    <row r="280" spans="3:104" x14ac:dyDescent="0.2">
      <c r="C280" s="42">
        <v>10</v>
      </c>
      <c r="D280" s="42">
        <v>2</v>
      </c>
      <c r="E280" s="7">
        <f t="shared" si="3"/>
        <v>1.25</v>
      </c>
      <c r="G280" s="60">
        <v>10</v>
      </c>
      <c r="H280" s="94">
        <v>-2.75</v>
      </c>
      <c r="I280" s="94">
        <v>4</v>
      </c>
      <c r="J280" s="94">
        <v>1.25</v>
      </c>
      <c r="K280" s="94">
        <v>2</v>
      </c>
    </row>
    <row r="281" spans="3:104" x14ac:dyDescent="0.2">
      <c r="C281" s="42">
        <v>11</v>
      </c>
      <c r="D281" s="42">
        <v>4.5</v>
      </c>
      <c r="E281" s="7">
        <f t="shared" si="3"/>
        <v>1</v>
      </c>
      <c r="G281" s="60">
        <v>11</v>
      </c>
      <c r="H281" s="94">
        <v>1.5</v>
      </c>
      <c r="I281" s="94">
        <v>-3</v>
      </c>
      <c r="J281" s="94">
        <v>1</v>
      </c>
      <c r="K281" s="94">
        <v>4.5</v>
      </c>
    </row>
    <row r="282" spans="3:104" x14ac:dyDescent="0.2">
      <c r="C282" s="42">
        <v>12</v>
      </c>
      <c r="D282" s="42">
        <v>4</v>
      </c>
      <c r="E282" s="42">
        <f>(1-$E$104)*(D282-D281)/(C282-C281)</f>
        <v>-0.5</v>
      </c>
      <c r="G282" s="60">
        <v>12</v>
      </c>
      <c r="H282" s="94" t="str">
        <v/>
      </c>
      <c r="I282" s="94" t="str">
        <v/>
      </c>
      <c r="J282" s="94" t="str">
        <v/>
      </c>
      <c r="K282" s="94" t="str">
        <v/>
      </c>
    </row>
    <row r="285" spans="3:104" x14ac:dyDescent="0.2">
      <c r="C285" s="77" t="s">
        <v>328</v>
      </c>
      <c r="D285" s="76" cm="1">
        <f t="array" ref="D285:CZ285">TRANSPOSE(L.LINSPACE(C272,C282,101))</f>
        <v>2</v>
      </c>
      <c r="E285" s="7">
        <v>2.1</v>
      </c>
      <c r="F285" s="7">
        <v>2.2000000000000002</v>
      </c>
      <c r="G285" s="7">
        <v>2.3000000000000003</v>
      </c>
      <c r="H285" s="7">
        <v>2.4000000000000004</v>
      </c>
      <c r="I285" s="7">
        <v>2.5000000000000004</v>
      </c>
      <c r="J285" s="7">
        <v>2.6000000000000005</v>
      </c>
      <c r="K285" s="7">
        <v>2.7000000000000006</v>
      </c>
      <c r="L285" s="7">
        <v>2.8000000000000007</v>
      </c>
      <c r="M285" s="7">
        <v>2.9000000000000008</v>
      </c>
      <c r="N285" s="7">
        <v>3.0000000000000009</v>
      </c>
      <c r="O285" s="7">
        <v>3.100000000000001</v>
      </c>
      <c r="P285" s="7">
        <v>3.2000000000000011</v>
      </c>
      <c r="Q285" s="7">
        <v>3.3000000000000012</v>
      </c>
      <c r="R285" s="7">
        <v>3.4000000000000012</v>
      </c>
      <c r="S285" s="7">
        <v>3.5000000000000013</v>
      </c>
      <c r="T285" s="7">
        <v>3.6000000000000014</v>
      </c>
      <c r="U285" s="7">
        <v>3.7000000000000015</v>
      </c>
      <c r="V285" s="7">
        <v>3.8000000000000016</v>
      </c>
      <c r="W285" s="7">
        <v>3.9000000000000017</v>
      </c>
      <c r="X285" s="7">
        <v>4.0000000000000018</v>
      </c>
      <c r="Y285" s="7">
        <v>4.1000000000000014</v>
      </c>
      <c r="Z285" s="7">
        <v>4.2000000000000011</v>
      </c>
      <c r="AA285" s="7">
        <v>4.3000000000000007</v>
      </c>
      <c r="AB285" s="7">
        <v>4.4000000000000004</v>
      </c>
      <c r="AC285" s="7">
        <v>4.5</v>
      </c>
      <c r="AD285" s="7">
        <v>4.5999999999999996</v>
      </c>
      <c r="AE285" s="7">
        <v>4.6999999999999993</v>
      </c>
      <c r="AF285" s="7">
        <v>4.7999999999999989</v>
      </c>
      <c r="AG285" s="7">
        <v>4.8999999999999986</v>
      </c>
      <c r="AH285" s="7">
        <v>4.9999999999999982</v>
      </c>
      <c r="AI285" s="7">
        <v>5.0999999999999979</v>
      </c>
      <c r="AJ285" s="7">
        <v>5.1999999999999975</v>
      </c>
      <c r="AK285" s="7">
        <v>5.2999999999999972</v>
      </c>
      <c r="AL285" s="7">
        <v>5.3999999999999968</v>
      </c>
      <c r="AM285" s="7">
        <v>5.4999999999999964</v>
      </c>
      <c r="AN285" s="7">
        <v>5.5999999999999961</v>
      </c>
      <c r="AO285" s="7">
        <v>5.6999999999999957</v>
      </c>
      <c r="AP285" s="7">
        <v>5.7999999999999954</v>
      </c>
      <c r="AQ285" s="7">
        <v>5.899999999999995</v>
      </c>
      <c r="AR285" s="7">
        <v>5.9999999999999947</v>
      </c>
      <c r="AS285" s="7">
        <v>6.0999999999999943</v>
      </c>
      <c r="AT285" s="7">
        <v>6.199999999999994</v>
      </c>
      <c r="AU285" s="7">
        <v>6.2999999999999936</v>
      </c>
      <c r="AV285" s="7">
        <v>6.3999999999999932</v>
      </c>
      <c r="AW285" s="7">
        <v>6.4999999999999929</v>
      </c>
      <c r="AX285" s="7">
        <v>6.5999999999999925</v>
      </c>
      <c r="AY285" s="7">
        <v>6.6999999999999922</v>
      </c>
      <c r="AZ285" s="7">
        <v>6.7999999999999918</v>
      </c>
      <c r="BA285" s="7">
        <v>6.8999999999999915</v>
      </c>
      <c r="BB285" s="7">
        <v>6.9999999999999911</v>
      </c>
      <c r="BC285" s="7">
        <v>7.0999999999999908</v>
      </c>
      <c r="BD285" s="7">
        <v>7.1999999999999904</v>
      </c>
      <c r="BE285" s="7">
        <v>7.2999999999999901</v>
      </c>
      <c r="BF285" s="7">
        <v>7.3999999999999897</v>
      </c>
      <c r="BG285" s="7">
        <v>7.4999999999999893</v>
      </c>
      <c r="BH285" s="7">
        <v>7.599999999999989</v>
      </c>
      <c r="BI285" s="7">
        <v>7.6999999999999886</v>
      </c>
      <c r="BJ285" s="7">
        <v>7.7999999999999883</v>
      </c>
      <c r="BK285" s="7">
        <v>7.8999999999999879</v>
      </c>
      <c r="BL285" s="7">
        <v>7.9999999999999876</v>
      </c>
      <c r="BM285" s="7">
        <v>8.0999999999999872</v>
      </c>
      <c r="BN285" s="7">
        <v>8.1999999999999869</v>
      </c>
      <c r="BO285" s="7">
        <v>8.2999999999999865</v>
      </c>
      <c r="BP285" s="7">
        <v>8.3999999999999861</v>
      </c>
      <c r="BQ285" s="7">
        <v>8.4999999999999858</v>
      </c>
      <c r="BR285" s="7">
        <v>8.5999999999999854</v>
      </c>
      <c r="BS285" s="7">
        <v>8.6999999999999851</v>
      </c>
      <c r="BT285" s="7">
        <v>8.7999999999999847</v>
      </c>
      <c r="BU285" s="7">
        <v>8.8999999999999844</v>
      </c>
      <c r="BV285" s="7">
        <v>8.999999999999984</v>
      </c>
      <c r="BW285" s="7">
        <v>9.0999999999999837</v>
      </c>
      <c r="BX285" s="7">
        <v>9.1999999999999833</v>
      </c>
      <c r="BY285" s="7">
        <v>9.2999999999999829</v>
      </c>
      <c r="BZ285" s="7">
        <v>9.3999999999999826</v>
      </c>
      <c r="CA285" s="7">
        <v>9.4999999999999822</v>
      </c>
      <c r="CB285" s="7">
        <v>9.5999999999999819</v>
      </c>
      <c r="CC285" s="7">
        <v>9.6999999999999815</v>
      </c>
      <c r="CD285" s="7">
        <v>9.7999999999999812</v>
      </c>
      <c r="CE285" s="7">
        <v>9.8999999999999808</v>
      </c>
      <c r="CF285" s="7">
        <v>9.9999999999999805</v>
      </c>
      <c r="CG285" s="7">
        <v>10.09999999999998</v>
      </c>
      <c r="CH285" s="7">
        <v>10.19999999999998</v>
      </c>
      <c r="CI285" s="7">
        <v>10.299999999999979</v>
      </c>
      <c r="CJ285" s="7">
        <v>10.399999999999979</v>
      </c>
      <c r="CK285" s="7">
        <v>10.499999999999979</v>
      </c>
      <c r="CL285" s="7">
        <v>10.599999999999978</v>
      </c>
      <c r="CM285" s="7">
        <v>10.699999999999978</v>
      </c>
      <c r="CN285" s="7">
        <v>10.799999999999978</v>
      </c>
      <c r="CO285" s="7">
        <v>10.899999999999977</v>
      </c>
      <c r="CP285" s="7">
        <v>10.999999999999977</v>
      </c>
      <c r="CQ285" s="7">
        <v>11.099999999999977</v>
      </c>
      <c r="CR285" s="7">
        <v>11.199999999999976</v>
      </c>
      <c r="CS285" s="7">
        <v>11.299999999999976</v>
      </c>
      <c r="CT285" s="7">
        <v>11.399999999999975</v>
      </c>
      <c r="CU285" s="7">
        <v>11.499999999999975</v>
      </c>
      <c r="CV285" s="7">
        <v>11.599999999999975</v>
      </c>
      <c r="CW285" s="7">
        <v>11.699999999999974</v>
      </c>
      <c r="CX285" s="7">
        <v>11.799999999999974</v>
      </c>
      <c r="CY285" s="7">
        <v>11.899999999999974</v>
      </c>
      <c r="CZ285" s="7">
        <v>11.999999999999973</v>
      </c>
    </row>
    <row r="286" spans="3:104" x14ac:dyDescent="0.2">
      <c r="C286" s="40" t="s">
        <v>329</v>
      </c>
      <c r="D286" s="64" cm="1">
        <f t="array" ref="D286:CZ286">L.PPVAL(_xlfn.ANCHORARRAY(G272),_xlfn.ANCHORARRAY(D285))</f>
        <v>4</v>
      </c>
      <c r="E286" s="7">
        <v>4.0090000000000003</v>
      </c>
      <c r="F286" s="7">
        <v>4.032</v>
      </c>
      <c r="G286" s="7">
        <v>4.0629999999999997</v>
      </c>
      <c r="H286" s="7">
        <v>4.0960000000000001</v>
      </c>
      <c r="I286" s="7">
        <v>4.125</v>
      </c>
      <c r="J286" s="7">
        <v>4.1440000000000001</v>
      </c>
      <c r="K286" s="7">
        <v>4.1470000000000002</v>
      </c>
      <c r="L286" s="7">
        <v>4.1280000000000001</v>
      </c>
      <c r="M286" s="7">
        <v>4.0809999999999995</v>
      </c>
      <c r="N286" s="7">
        <v>3.9999999999999991</v>
      </c>
      <c r="O286" s="7">
        <v>3.8674999999999984</v>
      </c>
      <c r="P286" s="7">
        <v>3.6799999999999979</v>
      </c>
      <c r="Q286" s="7">
        <v>3.452499999999997</v>
      </c>
      <c r="R286" s="7">
        <v>3.1999999999999966</v>
      </c>
      <c r="S286" s="7">
        <v>2.9374999999999964</v>
      </c>
      <c r="T286" s="7">
        <v>2.6799999999999962</v>
      </c>
      <c r="U286" s="7">
        <v>2.4424999999999963</v>
      </c>
      <c r="V286" s="7">
        <v>2.2399999999999971</v>
      </c>
      <c r="W286" s="7">
        <v>2.0874999999999977</v>
      </c>
      <c r="X286" s="7">
        <v>1.9999999999999991</v>
      </c>
      <c r="Y286" s="7">
        <v>1.9920000000000004</v>
      </c>
      <c r="Z286" s="7">
        <v>2.0560000000000009</v>
      </c>
      <c r="AA286" s="7">
        <v>2.1740000000000008</v>
      </c>
      <c r="AB286" s="7">
        <v>2.3280000000000007</v>
      </c>
      <c r="AC286" s="7">
        <v>2.5</v>
      </c>
      <c r="AD286" s="7">
        <v>2.6719999999999993</v>
      </c>
      <c r="AE286" s="7">
        <v>2.8259999999999992</v>
      </c>
      <c r="AF286" s="7">
        <v>2.9439999999999991</v>
      </c>
      <c r="AG286" s="7">
        <v>3.0079999999999991</v>
      </c>
      <c r="AH286" s="7">
        <v>3.0000000000000009</v>
      </c>
      <c r="AI286" s="7">
        <v>2.9102500000000027</v>
      </c>
      <c r="AJ286" s="7">
        <v>2.7520000000000047</v>
      </c>
      <c r="AK286" s="7">
        <v>2.5417500000000066</v>
      </c>
      <c r="AL286" s="7">
        <v>2.2960000000000083</v>
      </c>
      <c r="AM286" s="7">
        <v>2.0312500000000098</v>
      </c>
      <c r="AN286" s="7">
        <v>1.7640000000000104</v>
      </c>
      <c r="AO286" s="7">
        <v>1.5107500000000103</v>
      </c>
      <c r="AP286" s="7">
        <v>1.2880000000000091</v>
      </c>
      <c r="AQ286" s="7">
        <v>1.1122500000000071</v>
      </c>
      <c r="AR286" s="7">
        <v>1.000000000000004</v>
      </c>
      <c r="AS286" s="7">
        <v>0.93525000000000302</v>
      </c>
      <c r="AT286" s="7">
        <v>0.8920000000000019</v>
      </c>
      <c r="AU286" s="7">
        <v>0.87175000000000047</v>
      </c>
      <c r="AV286" s="7">
        <v>0.87599999999999878</v>
      </c>
      <c r="AW286" s="7">
        <v>0.90624999999999689</v>
      </c>
      <c r="AX286" s="7">
        <v>0.96399999999999464</v>
      </c>
      <c r="AY286" s="7">
        <v>1.0507499999999921</v>
      </c>
      <c r="AZ286" s="7">
        <v>1.167999999999989</v>
      </c>
      <c r="BA286" s="7">
        <v>1.3172499999999858</v>
      </c>
      <c r="BB286" s="7">
        <v>1.4999999999999822</v>
      </c>
      <c r="BC286" s="7">
        <v>1.7577499999999713</v>
      </c>
      <c r="BD286" s="7">
        <v>2.1119999999999624</v>
      </c>
      <c r="BE286" s="7">
        <v>2.5342499999999557</v>
      </c>
      <c r="BF286" s="7">
        <v>2.9959999999999516</v>
      </c>
      <c r="BG286" s="7">
        <v>3.4687499999999503</v>
      </c>
      <c r="BH286" s="7">
        <v>3.923999999999952</v>
      </c>
      <c r="BI286" s="7">
        <v>4.333249999999957</v>
      </c>
      <c r="BJ286" s="7">
        <v>4.6679999999999664</v>
      </c>
      <c r="BK286" s="7">
        <v>4.8997499999999796</v>
      </c>
      <c r="BL286" s="7">
        <v>4.9999999999999973</v>
      </c>
      <c r="BM286" s="7">
        <v>4.9497500000000159</v>
      </c>
      <c r="BN286" s="7">
        <v>4.7680000000000309</v>
      </c>
      <c r="BO286" s="7">
        <v>4.4832500000000444</v>
      </c>
      <c r="BP286" s="7">
        <v>4.1240000000000538</v>
      </c>
      <c r="BQ286" s="7">
        <v>3.7187500000000595</v>
      </c>
      <c r="BR286" s="7">
        <v>3.2960000000000615</v>
      </c>
      <c r="BS286" s="7">
        <v>2.8842500000000593</v>
      </c>
      <c r="BT286" s="7">
        <v>2.5120000000000524</v>
      </c>
      <c r="BU286" s="7">
        <v>2.2077500000000407</v>
      </c>
      <c r="BV286" s="7">
        <v>2.0000000000000244</v>
      </c>
      <c r="BW286" s="7">
        <v>1.867250000000019</v>
      </c>
      <c r="BX286" s="7">
        <v>1.7680000000000138</v>
      </c>
      <c r="BY286" s="7">
        <v>1.7007500000000089</v>
      </c>
      <c r="BZ286" s="7">
        <v>1.6640000000000037</v>
      </c>
      <c r="CA286" s="7">
        <v>1.6562499999999989</v>
      </c>
      <c r="CB286" s="7">
        <v>1.6759999999999939</v>
      </c>
      <c r="CC286" s="7">
        <v>1.7217499999999892</v>
      </c>
      <c r="CD286" s="7">
        <v>1.7919999999999845</v>
      </c>
      <c r="CE286" s="7">
        <v>1.8852499999999801</v>
      </c>
      <c r="CF286" s="7">
        <v>1.9999999999999756</v>
      </c>
      <c r="CG286" s="7">
        <v>2.1622499999999607</v>
      </c>
      <c r="CH286" s="7">
        <v>2.3879999999999488</v>
      </c>
      <c r="CI286" s="7">
        <v>2.6607499999999402</v>
      </c>
      <c r="CJ286" s="7">
        <v>2.9639999999999347</v>
      </c>
      <c r="CK286" s="7">
        <v>3.2812499999999321</v>
      </c>
      <c r="CL286" s="7">
        <v>3.5959999999999335</v>
      </c>
      <c r="CM286" s="7">
        <v>3.8917499999999383</v>
      </c>
      <c r="CN286" s="7">
        <v>4.1519999999999468</v>
      </c>
      <c r="CO286" s="7">
        <v>4.3602499999999598</v>
      </c>
      <c r="CP286" s="7">
        <v>4.4999999999999769</v>
      </c>
      <c r="CQ286" s="7">
        <v>4.5714999999999897</v>
      </c>
      <c r="CR286" s="7">
        <v>4.5920000000000005</v>
      </c>
      <c r="CS286" s="7">
        <v>4.5705000000000098</v>
      </c>
      <c r="CT286" s="7">
        <v>4.5160000000000169</v>
      </c>
      <c r="CU286" s="7">
        <v>4.4375000000000213</v>
      </c>
      <c r="CV286" s="7">
        <v>4.3440000000000243</v>
      </c>
      <c r="CW286" s="7">
        <v>4.2445000000000253</v>
      </c>
      <c r="CX286" s="7">
        <v>4.1480000000000237</v>
      </c>
      <c r="CY286" s="7">
        <v>4.0635000000000199</v>
      </c>
      <c r="CZ286" s="7">
        <v>4.0000000000000133</v>
      </c>
    </row>
    <row r="287" spans="3:104" x14ac:dyDescent="0.2">
      <c r="C287" s="40" t="s">
        <v>597</v>
      </c>
      <c r="D287" s="64" cm="1">
        <f t="array" ref="D287:CZ287">L.PPVAL(L.PPDER(_xlfn.ANCHORARRAY(G272)),_xlfn.ANCHORARRAY(D285))</f>
        <v>0</v>
      </c>
      <c r="E287" s="7">
        <v>0.17000000000000012</v>
      </c>
      <c r="F287" s="7">
        <v>0.28000000000000014</v>
      </c>
      <c r="G287" s="7">
        <v>0.33000000000000007</v>
      </c>
      <c r="H287" s="7">
        <v>0.31999999999999984</v>
      </c>
      <c r="I287" s="7">
        <v>0.24999999999999956</v>
      </c>
      <c r="J287" s="7">
        <v>0.11999999999999922</v>
      </c>
      <c r="K287" s="7">
        <v>-7.0000000000001394E-2</v>
      </c>
      <c r="L287" s="7">
        <v>-0.32000000000000206</v>
      </c>
      <c r="M287" s="7">
        <v>-0.63000000000000256</v>
      </c>
      <c r="N287" s="7">
        <v>-1.0000000000000062</v>
      </c>
      <c r="O287" s="7">
        <v>-1.6250000000000053</v>
      </c>
      <c r="P287" s="7">
        <v>-2.1000000000000041</v>
      </c>
      <c r="Q287" s="7">
        <v>-2.4250000000000029</v>
      </c>
      <c r="R287" s="7">
        <v>-2.6000000000000014</v>
      </c>
      <c r="S287" s="7">
        <v>-2.6249999999999991</v>
      </c>
      <c r="T287" s="7">
        <v>-2.4999999999999973</v>
      </c>
      <c r="U287" s="7">
        <v>-2.2249999999999952</v>
      </c>
      <c r="V287" s="7">
        <v>-1.7999999999999918</v>
      </c>
      <c r="W287" s="7">
        <v>-1.2249999999999881</v>
      </c>
      <c r="X287" s="7">
        <v>-0.49999999999998401</v>
      </c>
      <c r="Y287" s="7">
        <v>0.31000000000001027</v>
      </c>
      <c r="Z287" s="7">
        <v>0.94000000000000572</v>
      </c>
      <c r="AA287" s="7">
        <v>1.3900000000000026</v>
      </c>
      <c r="AB287" s="7">
        <v>1.6600000000000006</v>
      </c>
      <c r="AC287" s="7">
        <v>1.75</v>
      </c>
      <c r="AD287" s="7">
        <v>1.6600000000000006</v>
      </c>
      <c r="AE287" s="7">
        <v>1.3900000000000023</v>
      </c>
      <c r="AF287" s="7">
        <v>0.94000000000000483</v>
      </c>
      <c r="AG287" s="7">
        <v>0.31000000000001116</v>
      </c>
      <c r="AH287" s="7">
        <v>-0.49999999999998401</v>
      </c>
      <c r="AI287" s="7">
        <v>-1.2674999999999854</v>
      </c>
      <c r="AJ287" s="7">
        <v>-1.869999999999987</v>
      </c>
      <c r="AK287" s="7">
        <v>-2.3074999999999899</v>
      </c>
      <c r="AL287" s="7">
        <v>-2.5799999999999939</v>
      </c>
      <c r="AM287" s="7">
        <v>-2.6874999999999991</v>
      </c>
      <c r="AN287" s="7">
        <v>-2.6300000000000052</v>
      </c>
      <c r="AO287" s="7">
        <v>-2.4075000000000131</v>
      </c>
      <c r="AP287" s="7">
        <v>-2.0200000000000218</v>
      </c>
      <c r="AQ287" s="7">
        <v>-1.4675000000000313</v>
      </c>
      <c r="AR287" s="7">
        <v>-0.75000000000004263</v>
      </c>
      <c r="AS287" s="7">
        <v>-0.54250000000001219</v>
      </c>
      <c r="AT287" s="7">
        <v>-0.32000000000001388</v>
      </c>
      <c r="AU287" s="7">
        <v>-8.2500000000015672E-2</v>
      </c>
      <c r="AV287" s="7">
        <v>0.16999999999998239</v>
      </c>
      <c r="AW287" s="7">
        <v>0.43749999999998046</v>
      </c>
      <c r="AX287" s="7">
        <v>0.71999999999997844</v>
      </c>
      <c r="AY287" s="7">
        <v>1.0174999999999761</v>
      </c>
      <c r="AZ287" s="7">
        <v>1.3299999999999739</v>
      </c>
      <c r="BA287" s="7">
        <v>1.6574999999999713</v>
      </c>
      <c r="BB287" s="7">
        <v>1.9999999999999689</v>
      </c>
      <c r="BC287" s="7">
        <v>3.1074999999999111</v>
      </c>
      <c r="BD287" s="7">
        <v>3.9299999999999349</v>
      </c>
      <c r="BE287" s="7">
        <v>4.4674999999999603</v>
      </c>
      <c r="BF287" s="7">
        <v>4.7199999999999882</v>
      </c>
      <c r="BG287" s="7">
        <v>4.6875000000000187</v>
      </c>
      <c r="BH287" s="7">
        <v>4.3700000000000507</v>
      </c>
      <c r="BI287" s="7">
        <v>3.7675000000000853</v>
      </c>
      <c r="BJ287" s="7">
        <v>2.8800000000001216</v>
      </c>
      <c r="BK287" s="7">
        <v>1.7075000000001577</v>
      </c>
      <c r="BL287" s="7">
        <v>0.25000000000019895</v>
      </c>
      <c r="BM287" s="7">
        <v>-1.2074999999998317</v>
      </c>
      <c r="BN287" s="7">
        <v>-2.3799999999998649</v>
      </c>
      <c r="BO287" s="7">
        <v>-3.2674999999998993</v>
      </c>
      <c r="BP287" s="7">
        <v>-3.8699999999999362</v>
      </c>
      <c r="BQ287" s="7">
        <v>-4.1874999999999751</v>
      </c>
      <c r="BR287" s="7">
        <v>-4.2200000000000166</v>
      </c>
      <c r="BS287" s="7">
        <v>-3.9675000000000589</v>
      </c>
      <c r="BT287" s="7">
        <v>-3.4300000000001027</v>
      </c>
      <c r="BU287" s="7">
        <v>-2.6075000000001509</v>
      </c>
      <c r="BV287" s="7">
        <v>-1.500000000000199</v>
      </c>
      <c r="BW287" s="7">
        <v>-1.1575000000000548</v>
      </c>
      <c r="BX287" s="7">
        <v>-0.83000000000005347</v>
      </c>
      <c r="BY287" s="7">
        <v>-0.51750000000005203</v>
      </c>
      <c r="BZ287" s="7">
        <v>-0.22000000000005038</v>
      </c>
      <c r="CA287" s="7">
        <v>6.249999999995115E-2</v>
      </c>
      <c r="CB287" s="7">
        <v>0.329999999999953</v>
      </c>
      <c r="CC287" s="7">
        <v>0.58249999999995472</v>
      </c>
      <c r="CD287" s="7">
        <v>0.81999999999995676</v>
      </c>
      <c r="CE287" s="7">
        <v>1.0424999999999587</v>
      </c>
      <c r="CF287" s="7">
        <v>1.2499999999999609</v>
      </c>
      <c r="CG287" s="7">
        <v>1.9674999999998737</v>
      </c>
      <c r="CH287" s="7">
        <v>2.5199999999999045</v>
      </c>
      <c r="CI287" s="7">
        <v>2.9074999999999371</v>
      </c>
      <c r="CJ287" s="7">
        <v>3.1299999999999706</v>
      </c>
      <c r="CK287" s="7">
        <v>3.1875000000000053</v>
      </c>
      <c r="CL287" s="7">
        <v>3.0800000000000409</v>
      </c>
      <c r="CM287" s="7">
        <v>2.8075000000000783</v>
      </c>
      <c r="CN287" s="7">
        <v>2.3700000000001165</v>
      </c>
      <c r="CO287" s="7">
        <v>1.7675000000001555</v>
      </c>
      <c r="CP287" s="7">
        <v>1.0000000000001954</v>
      </c>
      <c r="CQ287" s="7">
        <v>0.44500000000011963</v>
      </c>
      <c r="CR287" s="7">
        <v>-1.9999999999900098E-2</v>
      </c>
      <c r="CS287" s="7">
        <v>-0.3949999999999203</v>
      </c>
      <c r="CT287" s="7">
        <v>-0.6799999999999411</v>
      </c>
      <c r="CU287" s="7">
        <v>-0.8749999999999627</v>
      </c>
      <c r="CV287" s="7">
        <v>-0.97999999999998488</v>
      </c>
      <c r="CW287" s="7">
        <v>-0.99500000000000766</v>
      </c>
      <c r="CX287" s="7">
        <v>-0.92000000000003102</v>
      </c>
      <c r="CY287" s="7">
        <v>-0.7550000000000554</v>
      </c>
      <c r="CZ287" s="7">
        <v>-0.50000000000007994</v>
      </c>
    </row>
    <row r="288" spans="3:104" x14ac:dyDescent="0.2">
      <c r="C288" s="40" t="s">
        <v>598</v>
      </c>
      <c r="D288" s="64" cm="1">
        <f t="array" ref="D288:CZ288">L.PPVAL(L.PPDER(L.PPDER(_xlfn.ANCHORARRAY(G272))),_xlfn.ANCHORARRAY(D285))</f>
        <v>2</v>
      </c>
      <c r="E288" s="7">
        <v>1.3999999999999995</v>
      </c>
      <c r="F288" s="7">
        <v>0.79999999999999893</v>
      </c>
      <c r="G288" s="7">
        <v>0.1999999999999984</v>
      </c>
      <c r="H288" s="7">
        <v>-0.40000000000000213</v>
      </c>
      <c r="I288" s="7">
        <v>-1.0000000000000027</v>
      </c>
      <c r="J288" s="7">
        <v>-1.6000000000000032</v>
      </c>
      <c r="K288" s="7">
        <v>-2.2000000000000037</v>
      </c>
      <c r="L288" s="7">
        <v>-2.8000000000000043</v>
      </c>
      <c r="M288" s="7">
        <v>-3.4000000000000048</v>
      </c>
      <c r="N288" s="7">
        <v>-6.9999999999999867</v>
      </c>
      <c r="O288" s="7">
        <v>-5.4999999999999858</v>
      </c>
      <c r="P288" s="7">
        <v>-3.999999999999984</v>
      </c>
      <c r="Q288" s="7">
        <v>-2.4999999999999822</v>
      </c>
      <c r="R288" s="7">
        <v>-0.99999999999998135</v>
      </c>
      <c r="S288" s="7">
        <v>0.50000000000001954</v>
      </c>
      <c r="T288" s="7">
        <v>2.0000000000000213</v>
      </c>
      <c r="U288" s="7">
        <v>3.5000000000000231</v>
      </c>
      <c r="V288" s="7">
        <v>5.0000000000000249</v>
      </c>
      <c r="W288" s="7">
        <v>6.5000000000000249</v>
      </c>
      <c r="X288" s="7">
        <v>8.999999999999968</v>
      </c>
      <c r="Y288" s="7">
        <v>7.1999999999999744</v>
      </c>
      <c r="Z288" s="7">
        <v>5.3999999999999808</v>
      </c>
      <c r="AA288" s="7">
        <v>3.5999999999999872</v>
      </c>
      <c r="AB288" s="7">
        <v>1.7999999999999936</v>
      </c>
      <c r="AC288" s="7">
        <v>0</v>
      </c>
      <c r="AD288" s="7">
        <v>-1.7999999999999936</v>
      </c>
      <c r="AE288" s="7">
        <v>-3.5999999999999872</v>
      </c>
      <c r="AF288" s="7">
        <v>-5.3999999999999808</v>
      </c>
      <c r="AG288" s="7">
        <v>-7.1999999999999744</v>
      </c>
      <c r="AH288" s="7">
        <v>-8.999999999999968</v>
      </c>
      <c r="AI288" s="7">
        <v>-6.8500000000000352</v>
      </c>
      <c r="AJ288" s="7">
        <v>-5.200000000000041</v>
      </c>
      <c r="AK288" s="7">
        <v>-3.5500000000000469</v>
      </c>
      <c r="AL288" s="7">
        <v>-1.9000000000000528</v>
      </c>
      <c r="AM288" s="7">
        <v>-0.25000000000005862</v>
      </c>
      <c r="AN288" s="7">
        <v>1.3999999999999346</v>
      </c>
      <c r="AO288" s="7">
        <v>3.0499999999999297</v>
      </c>
      <c r="AP288" s="7">
        <v>4.6999999999999247</v>
      </c>
      <c r="AQ288" s="7">
        <v>6.3499999999999179</v>
      </c>
      <c r="AR288" s="7">
        <v>7.9999999999999112</v>
      </c>
      <c r="AS288" s="7">
        <v>2.1499999999999915</v>
      </c>
      <c r="AT288" s="7">
        <v>2.2999999999999909</v>
      </c>
      <c r="AU288" s="7">
        <v>2.4499999999999904</v>
      </c>
      <c r="AV288" s="7">
        <v>2.5999999999999899</v>
      </c>
      <c r="AW288" s="7">
        <v>2.7499999999999893</v>
      </c>
      <c r="AX288" s="7">
        <v>2.8999999999999888</v>
      </c>
      <c r="AY288" s="7">
        <v>3.0499999999999883</v>
      </c>
      <c r="AZ288" s="7">
        <v>3.1999999999999877</v>
      </c>
      <c r="BA288" s="7">
        <v>3.3499999999999872</v>
      </c>
      <c r="BB288" s="7">
        <v>3.4999999999999867</v>
      </c>
      <c r="BC288" s="7">
        <v>9.6500000000002633</v>
      </c>
      <c r="BD288" s="7">
        <v>6.8000000000002734</v>
      </c>
      <c r="BE288" s="7">
        <v>3.9500000000002835</v>
      </c>
      <c r="BF288" s="7">
        <v>1.1000000000002927</v>
      </c>
      <c r="BG288" s="7">
        <v>-1.7499999999996962</v>
      </c>
      <c r="BH288" s="7">
        <v>-4.5999999999996852</v>
      </c>
      <c r="BI288" s="7">
        <v>-7.449999999999676</v>
      </c>
      <c r="BJ288" s="7">
        <v>-10.299999999999667</v>
      </c>
      <c r="BK288" s="7">
        <v>-13.149999999999658</v>
      </c>
      <c r="BL288" s="7">
        <v>-15.999999999999645</v>
      </c>
      <c r="BM288" s="7">
        <v>-13.150000000000365</v>
      </c>
      <c r="BN288" s="7">
        <v>-10.300000000000374</v>
      </c>
      <c r="BO288" s="7">
        <v>-7.4500000000003848</v>
      </c>
      <c r="BP288" s="7">
        <v>-4.6000000000003958</v>
      </c>
      <c r="BQ288" s="7">
        <v>-1.750000000000405</v>
      </c>
      <c r="BR288" s="7">
        <v>1.0999999999995858</v>
      </c>
      <c r="BS288" s="7">
        <v>3.9499999999995765</v>
      </c>
      <c r="BT288" s="7">
        <v>6.7999999999995637</v>
      </c>
      <c r="BU288" s="7">
        <v>9.6499999999995545</v>
      </c>
      <c r="BV288" s="7">
        <v>12.499999999999545</v>
      </c>
      <c r="BW288" s="7">
        <v>3.3500000000000245</v>
      </c>
      <c r="BX288" s="7">
        <v>3.200000000000025</v>
      </c>
      <c r="BY288" s="7">
        <v>3.0500000000000256</v>
      </c>
      <c r="BZ288" s="7">
        <v>2.9000000000000261</v>
      </c>
      <c r="CA288" s="7">
        <v>2.7500000000000266</v>
      </c>
      <c r="CB288" s="7">
        <v>2.6000000000000272</v>
      </c>
      <c r="CC288" s="7">
        <v>2.4500000000000277</v>
      </c>
      <c r="CD288" s="7">
        <v>2.3000000000000282</v>
      </c>
      <c r="CE288" s="7">
        <v>2.1500000000000288</v>
      </c>
      <c r="CF288" s="7">
        <v>2.0000000000000293</v>
      </c>
      <c r="CG288" s="7">
        <v>6.3500000000003283</v>
      </c>
      <c r="CH288" s="7">
        <v>4.7000000000003341</v>
      </c>
      <c r="CI288" s="7">
        <v>3.05000000000034</v>
      </c>
      <c r="CJ288" s="7">
        <v>1.4000000000003459</v>
      </c>
      <c r="CK288" s="7">
        <v>-0.24999999999964828</v>
      </c>
      <c r="CL288" s="7">
        <v>-1.8999999999996433</v>
      </c>
      <c r="CM288" s="7">
        <v>-3.5499999999996366</v>
      </c>
      <c r="CN288" s="7">
        <v>-5.1999999999996298</v>
      </c>
      <c r="CO288" s="7">
        <v>-6.8499999999996248</v>
      </c>
      <c r="CP288" s="7">
        <v>-8.4999999999996199</v>
      </c>
      <c r="CQ288" s="7">
        <v>-5.100000000000211</v>
      </c>
      <c r="CR288" s="7">
        <v>-4.2000000000002142</v>
      </c>
      <c r="CS288" s="7">
        <v>-3.3000000000002174</v>
      </c>
      <c r="CT288" s="7">
        <v>-2.4000000000002206</v>
      </c>
      <c r="CU288" s="7">
        <v>-1.5000000000002238</v>
      </c>
      <c r="CV288" s="7">
        <v>-0.60000000000022702</v>
      </c>
      <c r="CW288" s="7">
        <v>0.29999999999976978</v>
      </c>
      <c r="CX288" s="7">
        <v>1.1999999999997666</v>
      </c>
      <c r="CY288" s="7">
        <v>2.0999999999997634</v>
      </c>
      <c r="CZ288" s="7">
        <v>2.9999999999997602</v>
      </c>
    </row>
    <row r="310" spans="1:11" customFormat="1" ht="23.25" x14ac:dyDescent="0.2">
      <c r="A310" s="45" t="s">
        <v>6</v>
      </c>
      <c r="B310" s="12" t="s">
        <v>773</v>
      </c>
      <c r="C310" s="8"/>
      <c r="D310" s="8"/>
      <c r="E310" s="8"/>
      <c r="F310" s="8"/>
      <c r="G310" s="8"/>
      <c r="H310" s="8"/>
      <c r="I310" s="8"/>
      <c r="J310" s="8"/>
      <c r="K310" s="7"/>
    </row>
    <row r="311" spans="1:11" customFormat="1" ht="18" customHeight="1" x14ac:dyDescent="0.2">
      <c r="A311" s="45"/>
      <c r="B311" s="38" t="s">
        <v>599</v>
      </c>
      <c r="C311" s="7"/>
      <c r="D311" s="7"/>
      <c r="E311" s="7"/>
      <c r="F311" s="7"/>
      <c r="I311" s="7"/>
      <c r="J311" s="7"/>
      <c r="K311" s="7"/>
    </row>
    <row r="312" spans="1:11" customFormat="1" ht="18" customHeight="1" x14ac:dyDescent="0.2">
      <c r="A312" s="45"/>
      <c r="B312" s="41" t="s">
        <v>601</v>
      </c>
      <c r="C312" s="7"/>
      <c r="D312" s="7"/>
      <c r="E312" s="7"/>
      <c r="F312" s="7"/>
      <c r="G312" s="7"/>
      <c r="H312" s="7"/>
      <c r="I312" s="7"/>
      <c r="J312" s="7"/>
      <c r="K312" s="7"/>
    </row>
    <row r="314" spans="1:11" x14ac:dyDescent="0.2">
      <c r="C314" s="41" t="s">
        <v>422</v>
      </c>
      <c r="G314" s="41" t="s">
        <v>600</v>
      </c>
    </row>
    <row r="315" spans="1:11" ht="18.75" x14ac:dyDescent="0.2">
      <c r="C315" s="39" t="s">
        <v>328</v>
      </c>
      <c r="D315" s="39" t="s">
        <v>351</v>
      </c>
      <c r="G315" s="40" t="s">
        <v>417</v>
      </c>
      <c r="H315" s="52" t="s">
        <v>418</v>
      </c>
      <c r="I315" s="52" t="s">
        <v>419</v>
      </c>
      <c r="J315" s="52" t="s">
        <v>420</v>
      </c>
      <c r="K315" s="52" t="s">
        <v>421</v>
      </c>
    </row>
    <row r="316" spans="1:11" x14ac:dyDescent="0.2">
      <c r="C316" s="42">
        <v>2</v>
      </c>
      <c r="D316" s="42">
        <v>3</v>
      </c>
      <c r="G316" s="60" cm="1">
        <f t="array" ref="G316:K319">L.NSPLINE(C316:C319,D316:D319)</f>
        <v>2</v>
      </c>
      <c r="H316" s="94">
        <v>0.109375</v>
      </c>
      <c r="I316" s="94">
        <v>0</v>
      </c>
      <c r="J316" s="94">
        <v>-1.4375</v>
      </c>
      <c r="K316" s="94">
        <v>3</v>
      </c>
    </row>
    <row r="317" spans="1:11" x14ac:dyDescent="0.2">
      <c r="C317" s="42">
        <v>4</v>
      </c>
      <c r="D317" s="42">
        <v>1</v>
      </c>
      <c r="G317" s="60">
        <v>4</v>
      </c>
      <c r="H317" s="94">
        <v>-9.375E-2</v>
      </c>
      <c r="I317" s="94">
        <v>0.65625</v>
      </c>
      <c r="J317" s="94">
        <v>-0.125</v>
      </c>
      <c r="K317" s="94">
        <v>1</v>
      </c>
    </row>
    <row r="318" spans="1:11" x14ac:dyDescent="0.2">
      <c r="C318" s="42">
        <v>8</v>
      </c>
      <c r="D318" s="42">
        <v>5</v>
      </c>
      <c r="G318" s="60">
        <v>8</v>
      </c>
      <c r="H318" s="94">
        <v>7.8125E-2</v>
      </c>
      <c r="I318" s="94">
        <v>-0.46875</v>
      </c>
      <c r="J318" s="94">
        <v>0.625</v>
      </c>
      <c r="K318" s="94">
        <v>5</v>
      </c>
    </row>
    <row r="319" spans="1:11" x14ac:dyDescent="0.2">
      <c r="C319" s="42">
        <v>10</v>
      </c>
      <c r="D319" s="42">
        <v>5</v>
      </c>
      <c r="G319" s="60">
        <v>10</v>
      </c>
      <c r="H319" s="94" t="str">
        <v/>
      </c>
      <c r="I319" s="94" t="str">
        <v/>
      </c>
      <c r="J319" s="94" t="str">
        <v/>
      </c>
      <c r="K319" s="94" t="str">
        <v/>
      </c>
    </row>
    <row r="321" spans="3:52" x14ac:dyDescent="0.2">
      <c r="C321" s="41" t="s">
        <v>602</v>
      </c>
    </row>
    <row r="322" spans="3:52" x14ac:dyDescent="0.2">
      <c r="C322" s="77" t="s">
        <v>328</v>
      </c>
      <c r="D322" s="76" cm="1">
        <f t="array" ref="D322:AZ322">TRANSPOSE(L.LINSPACE(C316-2,C319+2,49))</f>
        <v>0</v>
      </c>
      <c r="E322" s="7">
        <v>0.25</v>
      </c>
      <c r="F322" s="7">
        <v>0.5</v>
      </c>
      <c r="G322" s="7">
        <v>0.75</v>
      </c>
      <c r="H322" s="7">
        <v>1</v>
      </c>
      <c r="I322" s="7">
        <v>1.25</v>
      </c>
      <c r="J322" s="7">
        <v>1.5</v>
      </c>
      <c r="K322" s="7">
        <v>1.75</v>
      </c>
      <c r="L322" s="7">
        <v>2</v>
      </c>
      <c r="M322" s="7">
        <v>2.25</v>
      </c>
      <c r="N322" s="7">
        <v>2.5</v>
      </c>
      <c r="O322" s="7">
        <v>2.75</v>
      </c>
      <c r="P322" s="7">
        <v>3</v>
      </c>
      <c r="Q322" s="7">
        <v>3.25</v>
      </c>
      <c r="R322" s="7">
        <v>3.5</v>
      </c>
      <c r="S322" s="7">
        <v>3.75</v>
      </c>
      <c r="T322" s="7">
        <v>4</v>
      </c>
      <c r="U322" s="7">
        <v>4.25</v>
      </c>
      <c r="V322" s="7">
        <v>4.5</v>
      </c>
      <c r="W322" s="7">
        <v>4.75</v>
      </c>
      <c r="X322" s="7">
        <v>5</v>
      </c>
      <c r="Y322" s="7">
        <v>5.25</v>
      </c>
      <c r="Z322" s="7">
        <v>5.5</v>
      </c>
      <c r="AA322" s="7">
        <v>5.75</v>
      </c>
      <c r="AB322" s="7">
        <v>6</v>
      </c>
      <c r="AC322" s="7">
        <v>6.25</v>
      </c>
      <c r="AD322" s="7">
        <v>6.5</v>
      </c>
      <c r="AE322" s="7">
        <v>6.75</v>
      </c>
      <c r="AF322" s="7">
        <v>7</v>
      </c>
      <c r="AG322" s="7">
        <v>7.25</v>
      </c>
      <c r="AH322" s="7">
        <v>7.5</v>
      </c>
      <c r="AI322" s="7">
        <v>7.75</v>
      </c>
      <c r="AJ322" s="7">
        <v>8</v>
      </c>
      <c r="AK322" s="7">
        <v>8.25</v>
      </c>
      <c r="AL322" s="7">
        <v>8.5</v>
      </c>
      <c r="AM322" s="7">
        <v>8.75</v>
      </c>
      <c r="AN322" s="7">
        <v>9</v>
      </c>
      <c r="AO322" s="7">
        <v>9.25</v>
      </c>
      <c r="AP322" s="7">
        <v>9.5</v>
      </c>
      <c r="AQ322" s="7">
        <v>9.75</v>
      </c>
      <c r="AR322" s="7">
        <v>10</v>
      </c>
      <c r="AS322" s="7">
        <v>10.25</v>
      </c>
      <c r="AT322" s="7">
        <v>10.5</v>
      </c>
      <c r="AU322" s="7">
        <v>10.75</v>
      </c>
      <c r="AV322" s="7">
        <v>11</v>
      </c>
      <c r="AW322" s="7">
        <v>11.25</v>
      </c>
      <c r="AX322" s="7">
        <v>11.5</v>
      </c>
      <c r="AY322" s="7">
        <v>11.75</v>
      </c>
      <c r="AZ322" s="7">
        <v>12</v>
      </c>
    </row>
    <row r="323" spans="3:52" x14ac:dyDescent="0.2">
      <c r="C323" s="40" t="s">
        <v>329</v>
      </c>
      <c r="D323" s="64" cm="1">
        <f t="array" ref="D323:AZ323">L.NSPLINE(C316:C319,D316:D319,_xlfn.ANCHORARRAY(D322))</f>
        <v>5.875</v>
      </c>
      <c r="E323" s="7">
        <v>5.515625</v>
      </c>
      <c r="F323" s="7">
        <v>5.15625</v>
      </c>
      <c r="G323" s="7">
        <v>4.796875</v>
      </c>
      <c r="H323" s="7">
        <v>4.4375</v>
      </c>
      <c r="I323" s="7">
        <v>4.078125</v>
      </c>
      <c r="J323" s="7">
        <v>3.71875</v>
      </c>
      <c r="K323" s="7">
        <v>3.359375</v>
      </c>
      <c r="L323" s="7">
        <v>3</v>
      </c>
      <c r="M323" s="7">
        <v>2.642333984375</v>
      </c>
      <c r="N323" s="7">
        <v>2.294921875</v>
      </c>
      <c r="O323" s="7">
        <v>1.968017578125</v>
      </c>
      <c r="P323" s="7">
        <v>1.671875</v>
      </c>
      <c r="Q323" s="7">
        <v>1.416748046875</v>
      </c>
      <c r="R323" s="7">
        <v>1.212890625</v>
      </c>
      <c r="S323" s="7">
        <v>1.070556640625</v>
      </c>
      <c r="T323" s="7">
        <v>1</v>
      </c>
      <c r="U323" s="7">
        <v>1.00830078125</v>
      </c>
      <c r="V323" s="7">
        <v>1.08984375</v>
      </c>
      <c r="W323" s="7">
        <v>1.23583984375</v>
      </c>
      <c r="X323" s="7">
        <v>1.4375</v>
      </c>
      <c r="Y323" s="7">
        <v>1.68603515625</v>
      </c>
      <c r="Z323" s="7">
        <v>1.97265625</v>
      </c>
      <c r="AA323" s="7">
        <v>2.28857421875</v>
      </c>
      <c r="AB323" s="7">
        <v>2.625</v>
      </c>
      <c r="AC323" s="7">
        <v>2.97314453125</v>
      </c>
      <c r="AD323" s="7">
        <v>3.32421875</v>
      </c>
      <c r="AE323" s="7">
        <v>3.66943359375</v>
      </c>
      <c r="AF323" s="7">
        <v>4</v>
      </c>
      <c r="AG323" s="7">
        <v>4.30712890625</v>
      </c>
      <c r="AH323" s="7">
        <v>4.58203125</v>
      </c>
      <c r="AI323" s="7">
        <v>4.81591796875</v>
      </c>
      <c r="AJ323" s="7">
        <v>5</v>
      </c>
      <c r="AK323" s="7">
        <v>5.128173828125</v>
      </c>
      <c r="AL323" s="7">
        <v>5.205078125</v>
      </c>
      <c r="AM323" s="7">
        <v>5.238037109375</v>
      </c>
      <c r="AN323" s="7">
        <v>5.234375</v>
      </c>
      <c r="AO323" s="7">
        <v>5.201416015625</v>
      </c>
      <c r="AP323" s="7">
        <v>5.146484375</v>
      </c>
      <c r="AQ323" s="7">
        <v>5.076904296875</v>
      </c>
      <c r="AR323" s="7">
        <v>5</v>
      </c>
      <c r="AS323" s="7">
        <v>4.921875</v>
      </c>
      <c r="AT323" s="7">
        <v>4.84375</v>
      </c>
      <c r="AU323" s="7">
        <v>4.765625</v>
      </c>
      <c r="AV323" s="7">
        <v>4.6875</v>
      </c>
      <c r="AW323" s="7">
        <v>4.609375</v>
      </c>
      <c r="AX323" s="7">
        <v>4.53125</v>
      </c>
      <c r="AY323" s="7">
        <v>4.453125</v>
      </c>
      <c r="AZ323" s="7">
        <v>4.375</v>
      </c>
    </row>
    <row r="324" spans="3:52" x14ac:dyDescent="0.2">
      <c r="C324" s="40" t="s">
        <v>597</v>
      </c>
      <c r="D324" s="64" t="e" cm="1">
        <f t="array" ref="D324:AZ324">L.PPVAL(L.PPDER(_xlfn.ANCHORARRAY(G316)),_xlfn.ANCHORARRAY(D322))</f>
        <v>#N/A</v>
      </c>
      <c r="E324" s="7" t="e">
        <v>#N/A</v>
      </c>
      <c r="F324" s="7" t="e">
        <v>#N/A</v>
      </c>
      <c r="G324" s="7" t="e">
        <v>#N/A</v>
      </c>
      <c r="H324" s="7" t="e">
        <v>#N/A</v>
      </c>
      <c r="I324" s="7" t="e">
        <v>#N/A</v>
      </c>
      <c r="J324" s="7" t="e">
        <v>#N/A</v>
      </c>
      <c r="K324" s="7" t="e">
        <v>#N/A</v>
      </c>
      <c r="L324" s="7">
        <v>-1.4375</v>
      </c>
      <c r="M324" s="7">
        <v>-1.4169921875</v>
      </c>
      <c r="N324" s="7">
        <v>-1.35546875</v>
      </c>
      <c r="O324" s="7">
        <v>-1.2529296875</v>
      </c>
      <c r="P324" s="7">
        <v>-1.109375</v>
      </c>
      <c r="Q324" s="7">
        <v>-0.9248046875</v>
      </c>
      <c r="R324" s="7">
        <v>-0.69921875</v>
      </c>
      <c r="S324" s="7">
        <v>-0.4326171875</v>
      </c>
      <c r="T324" s="7">
        <v>-0.125</v>
      </c>
      <c r="U324" s="7">
        <v>0.185546875</v>
      </c>
      <c r="V324" s="7">
        <v>0.4609375</v>
      </c>
      <c r="W324" s="7">
        <v>0.701171875</v>
      </c>
      <c r="X324" s="7">
        <v>0.90625</v>
      </c>
      <c r="Y324" s="7">
        <v>1.076171875</v>
      </c>
      <c r="Z324" s="7">
        <v>1.2109375</v>
      </c>
      <c r="AA324" s="7">
        <v>1.310546875</v>
      </c>
      <c r="AB324" s="7">
        <v>1.375</v>
      </c>
      <c r="AC324" s="7">
        <v>1.404296875</v>
      </c>
      <c r="AD324" s="7">
        <v>1.3984375</v>
      </c>
      <c r="AE324" s="7">
        <v>1.357421875</v>
      </c>
      <c r="AF324" s="7">
        <v>1.28125</v>
      </c>
      <c r="AG324" s="7">
        <v>1.169921875</v>
      </c>
      <c r="AH324" s="7">
        <v>1.0234375</v>
      </c>
      <c r="AI324" s="7">
        <v>0.841796875</v>
      </c>
      <c r="AJ324" s="7">
        <v>0.625</v>
      </c>
      <c r="AK324" s="7">
        <v>0.4052734375</v>
      </c>
      <c r="AL324" s="7">
        <v>0.21484375</v>
      </c>
      <c r="AM324" s="7">
        <v>5.37109375E-2</v>
      </c>
      <c r="AN324" s="7">
        <v>-7.8125E-2</v>
      </c>
      <c r="AO324" s="7">
        <v>-0.1806640625</v>
      </c>
      <c r="AP324" s="7">
        <v>-0.25390625</v>
      </c>
      <c r="AQ324" s="7">
        <v>-0.2978515625</v>
      </c>
      <c r="AR324" s="7">
        <v>-0.3125</v>
      </c>
      <c r="AS324" s="7" t="e">
        <v>#N/A</v>
      </c>
      <c r="AT324" s="7" t="e">
        <v>#N/A</v>
      </c>
      <c r="AU324" s="7" t="e">
        <v>#N/A</v>
      </c>
      <c r="AV324" s="7" t="e">
        <v>#N/A</v>
      </c>
      <c r="AW324" s="7" t="e">
        <v>#N/A</v>
      </c>
      <c r="AX324" s="7" t="e">
        <v>#N/A</v>
      </c>
      <c r="AY324" s="7" t="e">
        <v>#N/A</v>
      </c>
      <c r="AZ324" s="7" t="e">
        <v>#N/A</v>
      </c>
    </row>
    <row r="325" spans="3:52" x14ac:dyDescent="0.2">
      <c r="C325" s="40" t="s">
        <v>598</v>
      </c>
      <c r="D325" s="64" t="e" cm="1">
        <f t="array" ref="D325:AZ325">L.PPVAL(L.PPDER(L.PPDER(_xlfn.ANCHORARRAY(G316))),_xlfn.ANCHORARRAY(D322))</f>
        <v>#N/A</v>
      </c>
      <c r="E325" s="7" t="e">
        <v>#N/A</v>
      </c>
      <c r="F325" s="7" t="e">
        <v>#N/A</v>
      </c>
      <c r="G325" s="7" t="e">
        <v>#N/A</v>
      </c>
      <c r="H325" s="7" t="e">
        <v>#N/A</v>
      </c>
      <c r="I325" s="7" t="e">
        <v>#N/A</v>
      </c>
      <c r="J325" s="7" t="e">
        <v>#N/A</v>
      </c>
      <c r="K325" s="7" t="e">
        <v>#N/A</v>
      </c>
      <c r="L325" s="7">
        <v>0</v>
      </c>
      <c r="M325" s="7">
        <v>0.1640625</v>
      </c>
      <c r="N325" s="7">
        <v>0.328125</v>
      </c>
      <c r="O325" s="7">
        <v>0.4921875</v>
      </c>
      <c r="P325" s="7">
        <v>0.65625</v>
      </c>
      <c r="Q325" s="7">
        <v>0.8203125</v>
      </c>
      <c r="R325" s="7">
        <v>0.984375</v>
      </c>
      <c r="S325" s="7">
        <v>1.1484375</v>
      </c>
      <c r="T325" s="7">
        <v>1.3125</v>
      </c>
      <c r="U325" s="7">
        <v>1.171875</v>
      </c>
      <c r="V325" s="7">
        <v>1.03125</v>
      </c>
      <c r="W325" s="7">
        <v>0.890625</v>
      </c>
      <c r="X325" s="7">
        <v>0.75</v>
      </c>
      <c r="Y325" s="7">
        <v>0.609375</v>
      </c>
      <c r="Z325" s="7">
        <v>0.46875</v>
      </c>
      <c r="AA325" s="7">
        <v>0.328125</v>
      </c>
      <c r="AB325" s="7">
        <v>0.1875</v>
      </c>
      <c r="AC325" s="7">
        <v>4.6875E-2</v>
      </c>
      <c r="AD325" s="7">
        <v>-9.375E-2</v>
      </c>
      <c r="AE325" s="7">
        <v>-0.234375</v>
      </c>
      <c r="AF325" s="7">
        <v>-0.375</v>
      </c>
      <c r="AG325" s="7">
        <v>-0.515625</v>
      </c>
      <c r="AH325" s="7">
        <v>-0.65625</v>
      </c>
      <c r="AI325" s="7">
        <v>-0.796875</v>
      </c>
      <c r="AJ325" s="7">
        <v>-0.9375</v>
      </c>
      <c r="AK325" s="7">
        <v>-0.8203125</v>
      </c>
      <c r="AL325" s="7">
        <v>-0.703125</v>
      </c>
      <c r="AM325" s="7">
        <v>-0.5859375</v>
      </c>
      <c r="AN325" s="7">
        <v>-0.46875</v>
      </c>
      <c r="AO325" s="7">
        <v>-0.3515625</v>
      </c>
      <c r="AP325" s="7">
        <v>-0.234375</v>
      </c>
      <c r="AQ325" s="7">
        <v>-0.1171875</v>
      </c>
      <c r="AR325" s="7">
        <v>0</v>
      </c>
      <c r="AS325" s="7" t="e">
        <v>#N/A</v>
      </c>
      <c r="AT325" s="7" t="e">
        <v>#N/A</v>
      </c>
      <c r="AU325" s="7" t="e">
        <v>#N/A</v>
      </c>
      <c r="AV325" s="7" t="e">
        <v>#N/A</v>
      </c>
      <c r="AW325" s="7" t="e">
        <v>#N/A</v>
      </c>
      <c r="AX325" s="7" t="e">
        <v>#N/A</v>
      </c>
      <c r="AY325" s="7" t="e">
        <v>#N/A</v>
      </c>
      <c r="AZ325" s="7" t="e">
        <v>#N/A</v>
      </c>
    </row>
    <row r="348" spans="1:11" customFormat="1" ht="23.25" x14ac:dyDescent="0.2">
      <c r="A348" s="45" t="s">
        <v>6</v>
      </c>
      <c r="B348" s="12" t="s">
        <v>774</v>
      </c>
      <c r="C348" s="8"/>
      <c r="D348" s="8"/>
      <c r="E348" s="8"/>
      <c r="F348" s="8"/>
      <c r="G348" s="8"/>
      <c r="H348" s="8"/>
      <c r="I348" s="8"/>
      <c r="J348" s="8"/>
      <c r="K348" s="7"/>
    </row>
    <row r="349" spans="1:11" customFormat="1" ht="18" customHeight="1" x14ac:dyDescent="0.2">
      <c r="A349" s="45"/>
      <c r="B349" s="38" t="s">
        <v>605</v>
      </c>
      <c r="C349" s="7"/>
      <c r="D349" s="7"/>
      <c r="E349" s="7"/>
      <c r="F349" s="7"/>
      <c r="I349" s="7"/>
      <c r="J349" s="7"/>
      <c r="K349" s="7"/>
    </row>
    <row r="350" spans="1:11" customFormat="1" ht="18" customHeight="1" x14ac:dyDescent="0.2">
      <c r="A350" s="45"/>
      <c r="B350" s="41" t="s">
        <v>604</v>
      </c>
      <c r="C350" s="7"/>
      <c r="D350" s="7"/>
      <c r="E350" s="7"/>
      <c r="F350" s="7"/>
      <c r="G350" s="7"/>
      <c r="H350" s="7"/>
      <c r="I350" s="7"/>
      <c r="J350" s="7"/>
      <c r="K350" s="7"/>
    </row>
    <row r="352" spans="1:11" x14ac:dyDescent="0.2">
      <c r="C352" s="41" t="s">
        <v>422</v>
      </c>
      <c r="H352" s="41" t="s">
        <v>603</v>
      </c>
    </row>
    <row r="353" spans="3:100" ht="18.75" x14ac:dyDescent="0.2">
      <c r="C353" s="39" t="s">
        <v>328</v>
      </c>
      <c r="D353" s="39" t="s">
        <v>351</v>
      </c>
      <c r="F353" s="39" t="s">
        <v>607</v>
      </c>
      <c r="H353" s="40" t="s">
        <v>417</v>
      </c>
      <c r="I353" s="52" t="s">
        <v>418</v>
      </c>
      <c r="J353" s="52" t="s">
        <v>419</v>
      </c>
      <c r="K353" s="52" t="s">
        <v>420</v>
      </c>
      <c r="L353" s="52" t="s">
        <v>421</v>
      </c>
    </row>
    <row r="354" spans="3:100" x14ac:dyDescent="0.2">
      <c r="C354" s="42">
        <v>2</v>
      </c>
      <c r="D354" s="42">
        <v>4</v>
      </c>
      <c r="F354" s="42" t="s">
        <v>609</v>
      </c>
      <c r="H354" s="60" cm="1">
        <f t="array" ref="H354:L359">L.SPLINE(C354:C359,D354:D359,,F354,F357)</f>
        <v>2</v>
      </c>
      <c r="I354" s="94">
        <v>-3.1100478468899476E-2</v>
      </c>
      <c r="J354" s="94">
        <v>-2.7755575615628914E-17</v>
      </c>
      <c r="K354" s="94">
        <v>-0.87559808612440182</v>
      </c>
      <c r="L354" s="94">
        <v>4</v>
      </c>
    </row>
    <row r="355" spans="3:100" x14ac:dyDescent="0.2">
      <c r="C355" s="42">
        <v>4</v>
      </c>
      <c r="D355" s="42">
        <v>2</v>
      </c>
      <c r="H355" s="60">
        <v>4</v>
      </c>
      <c r="I355" s="94">
        <v>0.28050239234449753</v>
      </c>
      <c r="J355" s="94">
        <v>-0.18660287081339699</v>
      </c>
      <c r="K355" s="94">
        <v>-1.2488038277511959</v>
      </c>
      <c r="L355" s="94">
        <v>2</v>
      </c>
    </row>
    <row r="356" spans="3:100" x14ac:dyDescent="0.2">
      <c r="C356" s="42">
        <v>6</v>
      </c>
      <c r="D356" s="42">
        <v>1</v>
      </c>
      <c r="F356" s="39" t="s">
        <v>606</v>
      </c>
      <c r="H356" s="60">
        <v>6</v>
      </c>
      <c r="I356" s="94">
        <v>-0.59090909090909083</v>
      </c>
      <c r="J356" s="94">
        <v>1.4964114832535882</v>
      </c>
      <c r="K356" s="94">
        <v>1.3708133971291867</v>
      </c>
      <c r="L356" s="94">
        <v>1</v>
      </c>
    </row>
    <row r="357" spans="3:100" x14ac:dyDescent="0.2">
      <c r="C357" s="42">
        <v>8</v>
      </c>
      <c r="D357" s="42">
        <v>5</v>
      </c>
      <c r="F357" s="42" t="s">
        <v>609</v>
      </c>
      <c r="H357" s="60">
        <v>8</v>
      </c>
      <c r="I357" s="94">
        <v>0.58313397129186595</v>
      </c>
      <c r="J357" s="94">
        <v>-2.0490430622009566</v>
      </c>
      <c r="K357" s="94">
        <v>0.26555023923444987</v>
      </c>
      <c r="L357" s="94">
        <v>5</v>
      </c>
    </row>
    <row r="358" spans="3:100" x14ac:dyDescent="0.2">
      <c r="C358" s="42">
        <v>10</v>
      </c>
      <c r="D358" s="42">
        <v>2</v>
      </c>
      <c r="H358" s="60">
        <v>10</v>
      </c>
      <c r="I358" s="94">
        <v>-0.24162679425837313</v>
      </c>
      <c r="J358" s="94">
        <v>1.4497607655502391</v>
      </c>
      <c r="K358" s="94">
        <v>-0.93301435406698574</v>
      </c>
      <c r="L358" s="94">
        <v>2</v>
      </c>
    </row>
    <row r="359" spans="3:100" x14ac:dyDescent="0.2">
      <c r="C359" s="42">
        <v>12</v>
      </c>
      <c r="D359" s="42">
        <v>4</v>
      </c>
      <c r="H359" s="60">
        <v>12</v>
      </c>
      <c r="I359" s="94" t="str">
        <v/>
      </c>
      <c r="J359" s="94" t="str">
        <v/>
      </c>
      <c r="K359" s="94" t="str">
        <v/>
      </c>
      <c r="L359" s="94" t="str">
        <v/>
      </c>
    </row>
    <row r="361" spans="3:100" x14ac:dyDescent="0.2">
      <c r="C361" s="41" t="s">
        <v>602</v>
      </c>
    </row>
    <row r="362" spans="3:100" x14ac:dyDescent="0.2">
      <c r="C362" s="77" t="s">
        <v>328</v>
      </c>
      <c r="D362" s="76" cm="1">
        <f t="array" ref="D362:CV362">TRANSPOSE(L.LINSPACE(C354,C359,97))</f>
        <v>2</v>
      </c>
      <c r="E362" s="7">
        <v>2.1041666666666665</v>
      </c>
      <c r="F362" s="7">
        <v>2.208333333333333</v>
      </c>
      <c r="G362" s="7">
        <v>2.3124999999999996</v>
      </c>
      <c r="H362" s="7">
        <v>2.4166666666666661</v>
      </c>
      <c r="I362" s="7">
        <v>2.5208333333333326</v>
      </c>
      <c r="J362" s="7">
        <v>2.6249999999999991</v>
      </c>
      <c r="K362" s="7">
        <v>2.7291666666666656</v>
      </c>
      <c r="L362" s="7">
        <v>2.8333333333333321</v>
      </c>
      <c r="M362" s="7">
        <v>2.9374999999999987</v>
      </c>
      <c r="N362" s="7">
        <v>3.0416666666666652</v>
      </c>
      <c r="O362" s="7">
        <v>3.1458333333333317</v>
      </c>
      <c r="P362" s="7">
        <v>3.2499999999999982</v>
      </c>
      <c r="Q362" s="7">
        <v>3.3541666666666647</v>
      </c>
      <c r="R362" s="7">
        <v>3.4583333333333313</v>
      </c>
      <c r="S362" s="7">
        <v>3.5624999999999978</v>
      </c>
      <c r="T362" s="7">
        <v>3.6666666666666643</v>
      </c>
      <c r="U362" s="7">
        <v>3.7708333333333308</v>
      </c>
      <c r="V362" s="7">
        <v>3.8749999999999973</v>
      </c>
      <c r="W362" s="7">
        <v>3.9791666666666639</v>
      </c>
      <c r="X362" s="7">
        <v>4.0833333333333304</v>
      </c>
      <c r="Y362" s="7">
        <v>4.1874999999999973</v>
      </c>
      <c r="Z362" s="7">
        <v>4.2916666666666643</v>
      </c>
      <c r="AA362" s="7">
        <v>4.3958333333333313</v>
      </c>
      <c r="AB362" s="7">
        <v>4.4999999999999982</v>
      </c>
      <c r="AC362" s="7">
        <v>4.6041666666666652</v>
      </c>
      <c r="AD362" s="7">
        <v>4.7083333333333321</v>
      </c>
      <c r="AE362" s="7">
        <v>4.8124999999999991</v>
      </c>
      <c r="AF362" s="7">
        <v>4.9166666666666661</v>
      </c>
      <c r="AG362" s="7">
        <v>5.020833333333333</v>
      </c>
      <c r="AH362" s="7">
        <v>5.125</v>
      </c>
      <c r="AI362" s="7">
        <v>5.229166666666667</v>
      </c>
      <c r="AJ362" s="7">
        <v>5.3333333333333339</v>
      </c>
      <c r="AK362" s="7">
        <v>5.4375000000000009</v>
      </c>
      <c r="AL362" s="7">
        <v>5.5416666666666679</v>
      </c>
      <c r="AM362" s="7">
        <v>5.6458333333333348</v>
      </c>
      <c r="AN362" s="7">
        <v>5.7500000000000018</v>
      </c>
      <c r="AO362" s="7">
        <v>5.8541666666666687</v>
      </c>
      <c r="AP362" s="7">
        <v>5.9583333333333357</v>
      </c>
      <c r="AQ362" s="7">
        <v>6.0625000000000027</v>
      </c>
      <c r="AR362" s="7">
        <v>6.1666666666666696</v>
      </c>
      <c r="AS362" s="7">
        <v>6.2708333333333366</v>
      </c>
      <c r="AT362" s="7">
        <v>6.3750000000000036</v>
      </c>
      <c r="AU362" s="7">
        <v>6.4791666666666705</v>
      </c>
      <c r="AV362" s="7">
        <v>6.5833333333333375</v>
      </c>
      <c r="AW362" s="7">
        <v>6.6875000000000044</v>
      </c>
      <c r="AX362" s="7">
        <v>6.7916666666666714</v>
      </c>
      <c r="AY362" s="7">
        <v>6.8958333333333384</v>
      </c>
      <c r="AZ362" s="7">
        <v>7.0000000000000053</v>
      </c>
      <c r="BA362" s="7">
        <v>7.1041666666666723</v>
      </c>
      <c r="BB362" s="7">
        <v>7.2083333333333393</v>
      </c>
      <c r="BC362" s="7">
        <v>7.3125000000000062</v>
      </c>
      <c r="BD362" s="7">
        <v>7.4166666666666732</v>
      </c>
      <c r="BE362" s="7">
        <v>7.5208333333333401</v>
      </c>
      <c r="BF362" s="7">
        <v>7.6250000000000071</v>
      </c>
      <c r="BG362" s="7">
        <v>7.7291666666666741</v>
      </c>
      <c r="BH362" s="7">
        <v>7.833333333333341</v>
      </c>
      <c r="BI362" s="7">
        <v>7.937500000000008</v>
      </c>
      <c r="BJ362" s="7">
        <v>8.041666666666675</v>
      </c>
      <c r="BK362" s="7">
        <v>8.145833333333341</v>
      </c>
      <c r="BL362" s="7">
        <v>8.2500000000000071</v>
      </c>
      <c r="BM362" s="7">
        <v>8.3541666666666732</v>
      </c>
      <c r="BN362" s="7">
        <v>8.4583333333333393</v>
      </c>
      <c r="BO362" s="7">
        <v>8.5625000000000053</v>
      </c>
      <c r="BP362" s="7">
        <v>8.6666666666666714</v>
      </c>
      <c r="BQ362" s="7">
        <v>8.7708333333333375</v>
      </c>
      <c r="BR362" s="7">
        <v>8.8750000000000036</v>
      </c>
      <c r="BS362" s="7">
        <v>8.9791666666666696</v>
      </c>
      <c r="BT362" s="7">
        <v>9.0833333333333357</v>
      </c>
      <c r="BU362" s="7">
        <v>9.1875000000000018</v>
      </c>
      <c r="BV362" s="7">
        <v>9.2916666666666679</v>
      </c>
      <c r="BW362" s="7">
        <v>9.3958333333333339</v>
      </c>
      <c r="BX362" s="7">
        <v>9.5</v>
      </c>
      <c r="BY362" s="7">
        <v>9.6041666666666661</v>
      </c>
      <c r="BZ362" s="7">
        <v>9.7083333333333321</v>
      </c>
      <c r="CA362" s="7">
        <v>9.8124999999999982</v>
      </c>
      <c r="CB362" s="7">
        <v>9.9166666666666643</v>
      </c>
      <c r="CC362" s="7">
        <v>10.02083333333333</v>
      </c>
      <c r="CD362" s="7">
        <v>10.124999999999996</v>
      </c>
      <c r="CE362" s="7">
        <v>10.229166666666663</v>
      </c>
      <c r="CF362" s="7">
        <v>10.333333333333329</v>
      </c>
      <c r="CG362" s="7">
        <v>10.437499999999995</v>
      </c>
      <c r="CH362" s="7">
        <v>10.541666666666661</v>
      </c>
      <c r="CI362" s="7">
        <v>10.645833333333327</v>
      </c>
      <c r="CJ362" s="7">
        <v>10.749999999999993</v>
      </c>
      <c r="CK362" s="7">
        <v>10.854166666666659</v>
      </c>
      <c r="CL362" s="7">
        <v>10.958333333333325</v>
      </c>
      <c r="CM362" s="7">
        <v>11.062499999999991</v>
      </c>
      <c r="CN362" s="7">
        <v>11.166666666666657</v>
      </c>
      <c r="CO362" s="7">
        <v>11.270833333333323</v>
      </c>
      <c r="CP362" s="7">
        <v>11.374999999999989</v>
      </c>
      <c r="CQ362" s="7">
        <v>11.479166666666655</v>
      </c>
      <c r="CR362" s="7">
        <v>11.583333333333321</v>
      </c>
      <c r="CS362" s="7">
        <v>11.687499999999988</v>
      </c>
      <c r="CT362" s="7">
        <v>11.791666666666654</v>
      </c>
      <c r="CU362" s="7">
        <v>11.89583333333332</v>
      </c>
      <c r="CV362" s="7">
        <v>11.999999999999986</v>
      </c>
    </row>
    <row r="363" spans="3:100" x14ac:dyDescent="0.2">
      <c r="C363" s="40" t="s">
        <v>329</v>
      </c>
      <c r="D363" s="64" cm="1">
        <f t="array" ref="D363:CV363">L.PPVAL(_xlfn.ANCHORARRAY(H354),_xlfn.ANCHORARRAY(D362))</f>
        <v>4</v>
      </c>
      <c r="E363" s="7">
        <v>3.9087567137590269</v>
      </c>
      <c r="F363" s="7">
        <v>3.817302513899965</v>
      </c>
      <c r="G363" s="7">
        <v>3.7254264868047251</v>
      </c>
      <c r="H363" s="7">
        <v>3.6329177188552193</v>
      </c>
      <c r="I363" s="7">
        <v>3.5395652964333584</v>
      </c>
      <c r="J363" s="7">
        <v>3.4451583059210535</v>
      </c>
      <c r="K363" s="7">
        <v>3.349485833700216</v>
      </c>
      <c r="L363" s="7">
        <v>3.2523369661527566</v>
      </c>
      <c r="M363" s="7">
        <v>3.1535007896605873</v>
      </c>
      <c r="N363" s="7">
        <v>3.0527663906056191</v>
      </c>
      <c r="O363" s="7">
        <v>2.949922855369763</v>
      </c>
      <c r="P363" s="7">
        <v>2.8447592703349303</v>
      </c>
      <c r="Q363" s="7">
        <v>2.7370647218830322</v>
      </c>
      <c r="R363" s="7">
        <v>2.6266282963959799</v>
      </c>
      <c r="S363" s="7">
        <v>2.5132390802556843</v>
      </c>
      <c r="T363" s="7">
        <v>2.3966861598440579</v>
      </c>
      <c r="U363" s="7">
        <v>2.27675862154301</v>
      </c>
      <c r="V363" s="7">
        <v>2.1532455517344533</v>
      </c>
      <c r="W363" s="7">
        <v>2.0259360368002985</v>
      </c>
      <c r="X363" s="7">
        <v>1.8947994888578807</v>
      </c>
      <c r="Y363" s="7">
        <v>1.7611380399129071</v>
      </c>
      <c r="Z363" s="7">
        <v>1.6268511509696779</v>
      </c>
      <c r="AA363" s="7">
        <v>1.4938411006221093</v>
      </c>
      <c r="AB363" s="7">
        <v>1.3640101674641172</v>
      </c>
      <c r="AC363" s="7">
        <v>1.2392606300896181</v>
      </c>
      <c r="AD363" s="7">
        <v>1.1214947670925275</v>
      </c>
      <c r="AE363" s="7">
        <v>1.0126148570667626</v>
      </c>
      <c r="AF363" s="7">
        <v>0.91452317860623866</v>
      </c>
      <c r="AG363" s="7">
        <v>0.8291220103048722</v>
      </c>
      <c r="AH363" s="7">
        <v>0.7583136307565792</v>
      </c>
      <c r="AI363" s="7">
        <v>0.70400031855527612</v>
      </c>
      <c r="AJ363" s="7">
        <v>0.66808435229487895</v>
      </c>
      <c r="AK363" s="7">
        <v>0.65246801056930348</v>
      </c>
      <c r="AL363" s="7">
        <v>0.65905357197246661</v>
      </c>
      <c r="AM363" s="7">
        <v>0.68974331509828346</v>
      </c>
      <c r="AN363" s="7">
        <v>0.74643951854067159</v>
      </c>
      <c r="AO363" s="7">
        <v>0.83104446089354567</v>
      </c>
      <c r="AP363" s="7">
        <v>0.94546042075082282</v>
      </c>
      <c r="AQ363" s="7">
        <v>1.0913769297622649</v>
      </c>
      <c r="AR363" s="7">
        <v>1.2673001949317793</v>
      </c>
      <c r="AS363" s="7">
        <v>1.4692858936472799</v>
      </c>
      <c r="AT363" s="7">
        <v>1.6933266671650797</v>
      </c>
      <c r="AU363" s="7">
        <v>1.9354151567414921</v>
      </c>
      <c r="AV363" s="7">
        <v>2.1915440036328295</v>
      </c>
      <c r="AW363" s="7">
        <v>2.4577058490954062</v>
      </c>
      <c r="AX363" s="7">
        <v>2.7298933343855341</v>
      </c>
      <c r="AY363" s="7">
        <v>3.004099100759527</v>
      </c>
      <c r="AZ363" s="7">
        <v>3.2763157894736978</v>
      </c>
      <c r="BA363" s="7">
        <v>3.5425360417843592</v>
      </c>
      <c r="BB363" s="7">
        <v>3.7987524989478256</v>
      </c>
      <c r="BC363" s="7">
        <v>4.0409578022204089</v>
      </c>
      <c r="BD363" s="7">
        <v>4.2651445928584213</v>
      </c>
      <c r="BE363" s="7">
        <v>4.4673055121181786</v>
      </c>
      <c r="BF363" s="7">
        <v>4.6434332012559913</v>
      </c>
      <c r="BG363" s="7">
        <v>4.7895203015281744</v>
      </c>
      <c r="BH363" s="7">
        <v>4.9015594541910392</v>
      </c>
      <c r="BI363" s="7">
        <v>4.9755433005009007</v>
      </c>
      <c r="BJ363" s="7">
        <v>5.0075494095976216</v>
      </c>
      <c r="BK363" s="7">
        <v>4.9969569220940881</v>
      </c>
      <c r="BL363" s="7">
        <v>4.9474338367224835</v>
      </c>
      <c r="BM363" s="7">
        <v>4.8629347838219719</v>
      </c>
      <c r="BN363" s="7">
        <v>4.7474143937317184</v>
      </c>
      <c r="BO363" s="7">
        <v>4.6048272967908863</v>
      </c>
      <c r="BP363" s="7">
        <v>4.4391281233386417</v>
      </c>
      <c r="BQ363" s="7">
        <v>4.2542715037141487</v>
      </c>
      <c r="BR363" s="7">
        <v>4.0542120682565725</v>
      </c>
      <c r="BS363" s="7">
        <v>3.8429044473050764</v>
      </c>
      <c r="BT363" s="7">
        <v>3.6243032711988259</v>
      </c>
      <c r="BU363" s="7">
        <v>3.4023631702769852</v>
      </c>
      <c r="BV363" s="7">
        <v>3.1810387748787194</v>
      </c>
      <c r="BW363" s="7">
        <v>2.9642847153431928</v>
      </c>
      <c r="BX363" s="7">
        <v>2.7560556220095696</v>
      </c>
      <c r="BY363" s="7">
        <v>2.5603061252170156</v>
      </c>
      <c r="BZ363" s="7">
        <v>2.3809908553046943</v>
      </c>
      <c r="CA363" s="7">
        <v>2.2220644426117708</v>
      </c>
      <c r="CB363" s="7">
        <v>2.0874815174774088</v>
      </c>
      <c r="CC363" s="7">
        <v>1.9811892525515598</v>
      </c>
      <c r="CD363" s="7">
        <v>1.9055537903708155</v>
      </c>
      <c r="CE363" s="7">
        <v>1.8594137864735636</v>
      </c>
      <c r="CF363" s="7">
        <v>1.8411306042884992</v>
      </c>
      <c r="CG363" s="7">
        <v>1.849065607244317</v>
      </c>
      <c r="CH363" s="7">
        <v>1.8815801587697121</v>
      </c>
      <c r="CI363" s="7">
        <v>1.9370356222933791</v>
      </c>
      <c r="CJ363" s="7">
        <v>2.0137933612440131</v>
      </c>
      <c r="CK363" s="7">
        <v>2.110214739050309</v>
      </c>
      <c r="CL363" s="7">
        <v>2.2246611191409613</v>
      </c>
      <c r="CM363" s="7">
        <v>2.3554938649446653</v>
      </c>
      <c r="CN363" s="7">
        <v>2.5010743398901152</v>
      </c>
      <c r="CO363" s="7">
        <v>2.6597639074060071</v>
      </c>
      <c r="CP363" s="7">
        <v>2.8299239309210344</v>
      </c>
      <c r="CQ363" s="7">
        <v>3.0099157738638933</v>
      </c>
      <c r="CR363" s="7">
        <v>3.1981007996632775</v>
      </c>
      <c r="CS363" s="7">
        <v>3.3928403717478828</v>
      </c>
      <c r="CT363" s="7">
        <v>3.5924958535464038</v>
      </c>
      <c r="CU363" s="7">
        <v>3.7954286084875353</v>
      </c>
      <c r="CV363" s="7">
        <v>3.999999999999972</v>
      </c>
    </row>
    <row r="364" spans="3:100" x14ac:dyDescent="0.2">
      <c r="C364" s="40" t="s">
        <v>597</v>
      </c>
      <c r="D364" s="64" cm="1">
        <f t="array" ref="D364:CV364">L.PPVAL(L.PPDER(_xlfn.ANCHORARRAY(H354)),_xlfn.ANCHORARRAY(D362))</f>
        <v>-0.87559808612440182</v>
      </c>
      <c r="E364" s="7">
        <v>-0.87661047149122795</v>
      </c>
      <c r="F364" s="7">
        <v>-0.87964762759170645</v>
      </c>
      <c r="G364" s="7">
        <v>-0.88470955442583721</v>
      </c>
      <c r="H364" s="7">
        <v>-0.89179625199362023</v>
      </c>
      <c r="I364" s="7">
        <v>-0.90090772029505561</v>
      </c>
      <c r="J364" s="7">
        <v>-0.91204395933014337</v>
      </c>
      <c r="K364" s="7">
        <v>-0.92520496909888328</v>
      </c>
      <c r="L364" s="7">
        <v>-0.94039074960127556</v>
      </c>
      <c r="M364" s="7">
        <v>-0.9576013008373202</v>
      </c>
      <c r="N364" s="7">
        <v>-0.97683662280701711</v>
      </c>
      <c r="O364" s="7">
        <v>-0.99809671551036627</v>
      </c>
      <c r="P364" s="7">
        <v>-1.0213815789473677</v>
      </c>
      <c r="Q364" s="7">
        <v>-1.0466912131180215</v>
      </c>
      <c r="R364" s="7">
        <v>-1.0740256180223278</v>
      </c>
      <c r="S364" s="7">
        <v>-1.1033847936602861</v>
      </c>
      <c r="T364" s="7">
        <v>-1.1347687400318969</v>
      </c>
      <c r="U364" s="7">
        <v>-1.1681774571371597</v>
      </c>
      <c r="V364" s="7">
        <v>-1.2036109449760752</v>
      </c>
      <c r="W364" s="7">
        <v>-1.2410692035486428</v>
      </c>
      <c r="X364" s="7">
        <v>-1.2740605063795845</v>
      </c>
      <c r="Y364" s="7">
        <v>-1.2891956676136358</v>
      </c>
      <c r="Z364" s="7">
        <v>-1.2860689543460926</v>
      </c>
      <c r="AA364" s="7">
        <v>-1.2646803665769539</v>
      </c>
      <c r="AB364" s="7">
        <v>-1.2250299043062207</v>
      </c>
      <c r="AC364" s="7">
        <v>-1.1671175675338921</v>
      </c>
      <c r="AD364" s="7">
        <v>-1.0909433562599689</v>
      </c>
      <c r="AE364" s="7">
        <v>-0.99650727048445042</v>
      </c>
      <c r="AF364" s="7">
        <v>-0.883809310207337</v>
      </c>
      <c r="AG364" s="7">
        <v>-0.75284947542862868</v>
      </c>
      <c r="AH364" s="7">
        <v>-0.60362776614832514</v>
      </c>
      <c r="AI364" s="7">
        <v>-0.43614418236642671</v>
      </c>
      <c r="AJ364" s="7">
        <v>-0.25039872408293329</v>
      </c>
      <c r="AK364" s="7">
        <v>-4.6391391297844864E-2</v>
      </c>
      <c r="AL364" s="7">
        <v>0.17587781598883834</v>
      </c>
      <c r="AM364" s="7">
        <v>0.41640889777711654</v>
      </c>
      <c r="AN364" s="7">
        <v>0.67520185406698996</v>
      </c>
      <c r="AO364" s="7">
        <v>0.95225668485845882</v>
      </c>
      <c r="AP364" s="7">
        <v>1.2475733901515216</v>
      </c>
      <c r="AQ364" s="7">
        <v>1.5509401166268018</v>
      </c>
      <c r="AR364" s="7">
        <v>1.8203748006379656</v>
      </c>
      <c r="AS364" s="7">
        <v>2.0513388407097355</v>
      </c>
      <c r="AT364" s="7">
        <v>2.2438322368421111</v>
      </c>
      <c r="AU364" s="7">
        <v>2.3978549890350926</v>
      </c>
      <c r="AV364" s="7">
        <v>2.5134070972886802</v>
      </c>
      <c r="AW364" s="7">
        <v>2.5904885616028732</v>
      </c>
      <c r="AX364" s="7">
        <v>2.6290993819776718</v>
      </c>
      <c r="AY364" s="7">
        <v>2.6292395584130768</v>
      </c>
      <c r="AZ364" s="7">
        <v>2.5909090909090877</v>
      </c>
      <c r="BA364" s="7">
        <v>2.5141079794657042</v>
      </c>
      <c r="BB364" s="7">
        <v>2.3988362240829266</v>
      </c>
      <c r="BC364" s="7">
        <v>2.2450938247607546</v>
      </c>
      <c r="BD364" s="7">
        <v>2.052880781499189</v>
      </c>
      <c r="BE364" s="7">
        <v>1.8221970942982291</v>
      </c>
      <c r="BF364" s="7">
        <v>1.5530427631578745</v>
      </c>
      <c r="BG364" s="7">
        <v>1.2454177880781263</v>
      </c>
      <c r="BH364" s="7">
        <v>0.89932216905898454</v>
      </c>
      <c r="BI364" s="7">
        <v>0.51475590610044741</v>
      </c>
      <c r="BJ364" s="7">
        <v>9.7833806818149183E-2</v>
      </c>
      <c r="BK364" s="7">
        <v>-0.29488215834332887</v>
      </c>
      <c r="BL364" s="7">
        <v>-0.6496336722488264</v>
      </c>
      <c r="BM364" s="7">
        <v>-0.96642073489834368</v>
      </c>
      <c r="BN364" s="7">
        <v>-1.2452433462918804</v>
      </c>
      <c r="BO364" s="7">
        <v>-1.4861015064294367</v>
      </c>
      <c r="BP364" s="7">
        <v>-1.6889952153110128</v>
      </c>
      <c r="BQ364" s="7">
        <v>-1.8539244729366087</v>
      </c>
      <c r="BR364" s="7">
        <v>-1.9808892793062234</v>
      </c>
      <c r="BS364" s="7">
        <v>-2.0698896344198574</v>
      </c>
      <c r="BT364" s="7">
        <v>-2.1209255382775121</v>
      </c>
      <c r="BU364" s="7">
        <v>-2.1339969908791856</v>
      </c>
      <c r="BV364" s="7">
        <v>-2.1091039922248793</v>
      </c>
      <c r="BW364" s="7">
        <v>-2.0462465423145915</v>
      </c>
      <c r="BX364" s="7">
        <v>-1.9454246411483247</v>
      </c>
      <c r="BY364" s="7">
        <v>-1.8066382887260777</v>
      </c>
      <c r="BZ364" s="7">
        <v>-1.6298874850478486</v>
      </c>
      <c r="CA364" s="7">
        <v>-1.4151722301136398</v>
      </c>
      <c r="CB364" s="7">
        <v>-1.1624925239234511</v>
      </c>
      <c r="CC364" s="7">
        <v>-0.87292227372409148</v>
      </c>
      <c r="CD364" s="7">
        <v>-0.58190041866029696</v>
      </c>
      <c r="CE364" s="7">
        <v>-0.3066094746810315</v>
      </c>
      <c r="CF364" s="7">
        <v>-4.7049441786295443E-2</v>
      </c>
      <c r="CG364" s="7">
        <v>0.19677968002391144</v>
      </c>
      <c r="CH364" s="7">
        <v>0.42487789074958848</v>
      </c>
      <c r="CI364" s="7">
        <v>0.63724519039073679</v>
      </c>
      <c r="CJ364" s="7">
        <v>0.83388157894735548</v>
      </c>
      <c r="CK364" s="7">
        <v>1.014787056419445</v>
      </c>
      <c r="CL364" s="7">
        <v>1.1799616228070053</v>
      </c>
      <c r="CM364" s="7">
        <v>1.3294052781100356</v>
      </c>
      <c r="CN364" s="7">
        <v>1.4631180223285372</v>
      </c>
      <c r="CO364" s="7">
        <v>1.5810998554625095</v>
      </c>
      <c r="CP364" s="7">
        <v>1.6833507775119523</v>
      </c>
      <c r="CQ364" s="7">
        <v>1.7698707884768659</v>
      </c>
      <c r="CR364" s="7">
        <v>1.8406598883572498</v>
      </c>
      <c r="CS364" s="7">
        <v>1.8957180771531041</v>
      </c>
      <c r="CT364" s="7">
        <v>1.9350453548644306</v>
      </c>
      <c r="CU364" s="7">
        <v>1.9586417214912262</v>
      </c>
      <c r="CV364" s="7">
        <v>1.9665071770334939</v>
      </c>
    </row>
    <row r="365" spans="3:100" x14ac:dyDescent="0.2">
      <c r="C365" s="40" t="s">
        <v>598</v>
      </c>
      <c r="D365" s="64" cm="1">
        <f t="array" ref="D365:CV365">L.PPVAL(L.PPDER(L.PPDER(_xlfn.ANCHORARRAY(H354))),_xlfn.ANCHORARRAY(D362))</f>
        <v>-5.5511151231257827E-17</v>
      </c>
      <c r="E365" s="7">
        <v>-1.9437799043062202E-2</v>
      </c>
      <c r="F365" s="7">
        <v>-3.8875598086124348E-2</v>
      </c>
      <c r="G365" s="7">
        <v>-5.8313397129186491E-2</v>
      </c>
      <c r="H365" s="7">
        <v>-7.7751196172248641E-2</v>
      </c>
      <c r="I365" s="7">
        <v>-9.7188995215310783E-2</v>
      </c>
      <c r="J365" s="7">
        <v>-0.11662679425837293</v>
      </c>
      <c r="K365" s="7">
        <v>-0.13606459330143506</v>
      </c>
      <c r="L365" s="7">
        <v>-0.15550239234449723</v>
      </c>
      <c r="M365" s="7">
        <v>-0.17494019138755937</v>
      </c>
      <c r="N365" s="7">
        <v>-0.19437799043062151</v>
      </c>
      <c r="O365" s="7">
        <v>-0.21381578947368365</v>
      </c>
      <c r="P365" s="7">
        <v>-0.2332535885167458</v>
      </c>
      <c r="Q365" s="7">
        <v>-0.25269138755980791</v>
      </c>
      <c r="R365" s="7">
        <v>-0.27212918660287005</v>
      </c>
      <c r="S365" s="7">
        <v>-0.29156698564593225</v>
      </c>
      <c r="T365" s="7">
        <v>-0.3110047846889944</v>
      </c>
      <c r="U365" s="7">
        <v>-0.33044258373205654</v>
      </c>
      <c r="V365" s="7">
        <v>-0.34988038277511868</v>
      </c>
      <c r="W365" s="7">
        <v>-0.36931818181818082</v>
      </c>
      <c r="X365" s="7">
        <v>-0.23295454545455022</v>
      </c>
      <c r="Y365" s="7">
        <v>-5.7640550239238753E-2</v>
      </c>
      <c r="Z365" s="7">
        <v>0.11767344497607268</v>
      </c>
      <c r="AA365" s="7">
        <v>0.29298744019138412</v>
      </c>
      <c r="AB365" s="7">
        <v>0.46830143540669555</v>
      </c>
      <c r="AC365" s="7">
        <v>0.64361543062200699</v>
      </c>
      <c r="AD365" s="7">
        <v>0.81892942583731854</v>
      </c>
      <c r="AE365" s="7">
        <v>0.99424342105262986</v>
      </c>
      <c r="AF365" s="7">
        <v>1.1695574162679414</v>
      </c>
      <c r="AG365" s="7">
        <v>1.3448714114832527</v>
      </c>
      <c r="AH365" s="7">
        <v>1.5201854066985643</v>
      </c>
      <c r="AI365" s="7">
        <v>1.6954994019138756</v>
      </c>
      <c r="AJ365" s="7">
        <v>1.8708133971291872</v>
      </c>
      <c r="AK365" s="7">
        <v>2.0461273923444985</v>
      </c>
      <c r="AL365" s="7">
        <v>2.2214413875598096</v>
      </c>
      <c r="AM365" s="7">
        <v>2.3967553827751216</v>
      </c>
      <c r="AN365" s="7">
        <v>2.5720693779904327</v>
      </c>
      <c r="AO365" s="7">
        <v>2.7473833732057447</v>
      </c>
      <c r="AP365" s="7">
        <v>2.9226973684210558</v>
      </c>
      <c r="AQ365" s="7">
        <v>2.7712320574162579</v>
      </c>
      <c r="AR365" s="7">
        <v>2.4019138755980749</v>
      </c>
      <c r="AS365" s="7">
        <v>2.0325956937798924</v>
      </c>
      <c r="AT365" s="7">
        <v>1.6632775119617094</v>
      </c>
      <c r="AU365" s="7">
        <v>1.2939593301435266</v>
      </c>
      <c r="AV365" s="7">
        <v>0.92464114832534383</v>
      </c>
      <c r="AW365" s="7">
        <v>0.55532296650716084</v>
      </c>
      <c r="AX365" s="7">
        <v>0.1860047846889783</v>
      </c>
      <c r="AY365" s="7">
        <v>-0.18331339712920469</v>
      </c>
      <c r="AZ365" s="7">
        <v>-0.55263157894738768</v>
      </c>
      <c r="BA365" s="7">
        <v>-0.92194976076557023</v>
      </c>
      <c r="BB365" s="7">
        <v>-1.2912679425837532</v>
      </c>
      <c r="BC365" s="7">
        <v>-1.6605861244019358</v>
      </c>
      <c r="BD365" s="7">
        <v>-2.0299043062201183</v>
      </c>
      <c r="BE365" s="7">
        <v>-2.3992224880383017</v>
      </c>
      <c r="BF365" s="7">
        <v>-2.7685406698564843</v>
      </c>
      <c r="BG365" s="7">
        <v>-3.1378588516746668</v>
      </c>
      <c r="BH365" s="7">
        <v>-3.5071770334928503</v>
      </c>
      <c r="BI365" s="7">
        <v>-3.8764952153110328</v>
      </c>
      <c r="BJ365" s="7">
        <v>-3.9523026315789176</v>
      </c>
      <c r="BK365" s="7">
        <v>-3.5878438995215034</v>
      </c>
      <c r="BL365" s="7">
        <v>-3.2233851674640892</v>
      </c>
      <c r="BM365" s="7">
        <v>-2.8589264354066755</v>
      </c>
      <c r="BN365" s="7">
        <v>-2.4944677033492608</v>
      </c>
      <c r="BO365" s="7">
        <v>-2.1300089712918471</v>
      </c>
      <c r="BP365" s="7">
        <v>-1.7655502392344329</v>
      </c>
      <c r="BQ365" s="7">
        <v>-1.4010915071770187</v>
      </c>
      <c r="BR365" s="7">
        <v>-1.0366327751196045</v>
      </c>
      <c r="BS365" s="7">
        <v>-0.67217404306219031</v>
      </c>
      <c r="BT365" s="7">
        <v>-0.30771531100477612</v>
      </c>
      <c r="BU365" s="7">
        <v>5.6743421052638077E-2</v>
      </c>
      <c r="BV365" s="7">
        <v>0.42120215311005182</v>
      </c>
      <c r="BW365" s="7">
        <v>0.78566088516746646</v>
      </c>
      <c r="BX365" s="7">
        <v>1.1501196172248802</v>
      </c>
      <c r="BY365" s="7">
        <v>1.5145783492822948</v>
      </c>
      <c r="BZ365" s="7">
        <v>1.8790370813397086</v>
      </c>
      <c r="CA365" s="7">
        <v>2.2434958133971232</v>
      </c>
      <c r="CB365" s="7">
        <v>2.607954545454537</v>
      </c>
      <c r="CC365" s="7">
        <v>2.8693181818181861</v>
      </c>
      <c r="CD365" s="7">
        <v>2.7183014354067034</v>
      </c>
      <c r="CE365" s="7">
        <v>2.5672846889952212</v>
      </c>
      <c r="CF365" s="7">
        <v>2.416267942583739</v>
      </c>
      <c r="CG365" s="7">
        <v>2.2652511961722563</v>
      </c>
      <c r="CH365" s="7">
        <v>2.1142344497607741</v>
      </c>
      <c r="CI365" s="7">
        <v>1.9632177033492919</v>
      </c>
      <c r="CJ365" s="7">
        <v>1.8122009569378095</v>
      </c>
      <c r="CK365" s="7">
        <v>1.6611842105263273</v>
      </c>
      <c r="CL365" s="7">
        <v>1.5101674641148448</v>
      </c>
      <c r="CM365" s="7">
        <v>1.3591507177033626</v>
      </c>
      <c r="CN365" s="7">
        <v>1.2081339712918802</v>
      </c>
      <c r="CO365" s="7">
        <v>1.0571172248803979</v>
      </c>
      <c r="CP365" s="7">
        <v>0.9061004784689155</v>
      </c>
      <c r="CQ365" s="7">
        <v>0.75508373205743329</v>
      </c>
      <c r="CR365" s="7">
        <v>0.60406698564595063</v>
      </c>
      <c r="CS365" s="7">
        <v>0.45305023923446841</v>
      </c>
      <c r="CT365" s="7">
        <v>0.30203349282298619</v>
      </c>
      <c r="CU365" s="7">
        <v>0.15101674641150398</v>
      </c>
      <c r="CV365" s="7">
        <v>2.1316282072803006E-14</v>
      </c>
    </row>
    <row r="366" spans="3:100" x14ac:dyDescent="0.2">
      <c r="C366" s="40" t="s">
        <v>608</v>
      </c>
      <c r="D366" s="64" cm="1">
        <f t="array" ref="D366:CV366">L.PPVAL(L.PPDER(L.PPDER(L.PPDER(_xlfn.ANCHORARRAY(H354)))),_xlfn.ANCHORARRAY(D362))</f>
        <v>-0.18660287081339685</v>
      </c>
      <c r="E366" s="7">
        <v>-0.18660287081339685</v>
      </c>
      <c r="F366" s="7">
        <v>-0.18660287081339685</v>
      </c>
      <c r="G366" s="7">
        <v>-0.18660287081339685</v>
      </c>
      <c r="H366" s="7">
        <v>-0.18660287081339685</v>
      </c>
      <c r="I366" s="7">
        <v>-0.18660287081339685</v>
      </c>
      <c r="J366" s="7">
        <v>-0.18660287081339685</v>
      </c>
      <c r="K366" s="7">
        <v>-0.18660287081339685</v>
      </c>
      <c r="L366" s="7">
        <v>-0.18660287081339685</v>
      </c>
      <c r="M366" s="7">
        <v>-0.18660287081339685</v>
      </c>
      <c r="N366" s="7">
        <v>-0.18660287081339685</v>
      </c>
      <c r="O366" s="7">
        <v>-0.18660287081339685</v>
      </c>
      <c r="P366" s="7">
        <v>-0.18660287081339685</v>
      </c>
      <c r="Q366" s="7">
        <v>-0.18660287081339685</v>
      </c>
      <c r="R366" s="7">
        <v>-0.18660287081339685</v>
      </c>
      <c r="S366" s="7">
        <v>-0.18660287081339685</v>
      </c>
      <c r="T366" s="7">
        <v>-0.18660287081339685</v>
      </c>
      <c r="U366" s="7">
        <v>-0.18660287081339685</v>
      </c>
      <c r="V366" s="7">
        <v>-0.18660287081339685</v>
      </c>
      <c r="W366" s="7">
        <v>-0.18660287081339685</v>
      </c>
      <c r="X366" s="7">
        <v>1.6830143540669851</v>
      </c>
      <c r="Y366" s="7">
        <v>1.6830143540669851</v>
      </c>
      <c r="Z366" s="7">
        <v>1.6830143540669851</v>
      </c>
      <c r="AA366" s="7">
        <v>1.6830143540669851</v>
      </c>
      <c r="AB366" s="7">
        <v>1.6830143540669851</v>
      </c>
      <c r="AC366" s="7">
        <v>1.6830143540669851</v>
      </c>
      <c r="AD366" s="7">
        <v>1.6830143540669851</v>
      </c>
      <c r="AE366" s="7">
        <v>1.6830143540669851</v>
      </c>
      <c r="AF366" s="7">
        <v>1.6830143540669851</v>
      </c>
      <c r="AG366" s="7">
        <v>1.6830143540669851</v>
      </c>
      <c r="AH366" s="7">
        <v>1.6830143540669851</v>
      </c>
      <c r="AI366" s="7">
        <v>1.6830143540669851</v>
      </c>
      <c r="AJ366" s="7">
        <v>1.6830143540669851</v>
      </c>
      <c r="AK366" s="7">
        <v>1.6830143540669851</v>
      </c>
      <c r="AL366" s="7">
        <v>1.6830143540669851</v>
      </c>
      <c r="AM366" s="7">
        <v>1.6830143540669851</v>
      </c>
      <c r="AN366" s="7">
        <v>1.6830143540669851</v>
      </c>
      <c r="AO366" s="7">
        <v>1.6830143540669851</v>
      </c>
      <c r="AP366" s="7">
        <v>1.6830143540669851</v>
      </c>
      <c r="AQ366" s="7">
        <v>-3.545454545454545</v>
      </c>
      <c r="AR366" s="7">
        <v>-3.545454545454545</v>
      </c>
      <c r="AS366" s="7">
        <v>-3.545454545454545</v>
      </c>
      <c r="AT366" s="7">
        <v>-3.545454545454545</v>
      </c>
      <c r="AU366" s="7">
        <v>-3.545454545454545</v>
      </c>
      <c r="AV366" s="7">
        <v>-3.545454545454545</v>
      </c>
      <c r="AW366" s="7">
        <v>-3.545454545454545</v>
      </c>
      <c r="AX366" s="7">
        <v>-3.545454545454545</v>
      </c>
      <c r="AY366" s="7">
        <v>-3.545454545454545</v>
      </c>
      <c r="AZ366" s="7">
        <v>-3.545454545454545</v>
      </c>
      <c r="BA366" s="7">
        <v>-3.545454545454545</v>
      </c>
      <c r="BB366" s="7">
        <v>-3.545454545454545</v>
      </c>
      <c r="BC366" s="7">
        <v>-3.545454545454545</v>
      </c>
      <c r="BD366" s="7">
        <v>-3.545454545454545</v>
      </c>
      <c r="BE366" s="7">
        <v>-3.545454545454545</v>
      </c>
      <c r="BF366" s="7">
        <v>-3.545454545454545</v>
      </c>
      <c r="BG366" s="7">
        <v>-3.545454545454545</v>
      </c>
      <c r="BH366" s="7">
        <v>-3.545454545454545</v>
      </c>
      <c r="BI366" s="7">
        <v>-3.545454545454545</v>
      </c>
      <c r="BJ366" s="7">
        <v>3.4988038277511957</v>
      </c>
      <c r="BK366" s="7">
        <v>3.4988038277511957</v>
      </c>
      <c r="BL366" s="7">
        <v>3.4988038277511957</v>
      </c>
      <c r="BM366" s="7">
        <v>3.4988038277511957</v>
      </c>
      <c r="BN366" s="7">
        <v>3.4988038277511957</v>
      </c>
      <c r="BO366" s="7">
        <v>3.4988038277511957</v>
      </c>
      <c r="BP366" s="7">
        <v>3.4988038277511957</v>
      </c>
      <c r="BQ366" s="7">
        <v>3.4988038277511957</v>
      </c>
      <c r="BR366" s="7">
        <v>3.4988038277511957</v>
      </c>
      <c r="BS366" s="7">
        <v>3.4988038277511957</v>
      </c>
      <c r="BT366" s="7">
        <v>3.4988038277511957</v>
      </c>
      <c r="BU366" s="7">
        <v>3.4988038277511957</v>
      </c>
      <c r="BV366" s="7">
        <v>3.4988038277511957</v>
      </c>
      <c r="BW366" s="7">
        <v>3.4988038277511957</v>
      </c>
      <c r="BX366" s="7">
        <v>3.4988038277511957</v>
      </c>
      <c r="BY366" s="7">
        <v>3.4988038277511957</v>
      </c>
      <c r="BZ366" s="7">
        <v>3.4988038277511957</v>
      </c>
      <c r="CA366" s="7">
        <v>3.4988038277511957</v>
      </c>
      <c r="CB366" s="7">
        <v>3.4988038277511957</v>
      </c>
      <c r="CC366" s="7">
        <v>-1.4497607655502387</v>
      </c>
      <c r="CD366" s="7">
        <v>-1.4497607655502387</v>
      </c>
      <c r="CE366" s="7">
        <v>-1.4497607655502387</v>
      </c>
      <c r="CF366" s="7">
        <v>-1.4497607655502387</v>
      </c>
      <c r="CG366" s="7">
        <v>-1.4497607655502387</v>
      </c>
      <c r="CH366" s="7">
        <v>-1.4497607655502387</v>
      </c>
      <c r="CI366" s="7">
        <v>-1.4497607655502387</v>
      </c>
      <c r="CJ366" s="7">
        <v>-1.4497607655502387</v>
      </c>
      <c r="CK366" s="7">
        <v>-1.4497607655502387</v>
      </c>
      <c r="CL366" s="7">
        <v>-1.4497607655502387</v>
      </c>
      <c r="CM366" s="7">
        <v>-1.4497607655502387</v>
      </c>
      <c r="CN366" s="7">
        <v>-1.4497607655502387</v>
      </c>
      <c r="CO366" s="7">
        <v>-1.4497607655502387</v>
      </c>
      <c r="CP366" s="7">
        <v>-1.4497607655502387</v>
      </c>
      <c r="CQ366" s="7">
        <v>-1.4497607655502387</v>
      </c>
      <c r="CR366" s="7">
        <v>-1.4497607655502387</v>
      </c>
      <c r="CS366" s="7">
        <v>-1.4497607655502387</v>
      </c>
      <c r="CT366" s="7">
        <v>-1.4497607655502387</v>
      </c>
      <c r="CU366" s="7">
        <v>-1.4497607655502387</v>
      </c>
      <c r="CV366" s="7">
        <v>-1.4497607655502387</v>
      </c>
    </row>
    <row r="388" spans="1:11" customFormat="1" ht="23.25" x14ac:dyDescent="0.2">
      <c r="A388" s="45" t="s">
        <v>6</v>
      </c>
      <c r="B388" s="12" t="s">
        <v>775</v>
      </c>
      <c r="C388" s="8"/>
      <c r="D388" s="8"/>
      <c r="E388" s="8"/>
      <c r="F388" s="8"/>
      <c r="G388" s="8"/>
      <c r="H388" s="8"/>
      <c r="I388" s="8"/>
      <c r="J388" s="8"/>
      <c r="K388" s="7"/>
    </row>
    <row r="389" spans="1:11" customFormat="1" ht="18" customHeight="1" x14ac:dyDescent="0.2">
      <c r="A389" s="45"/>
      <c r="B389" s="38" t="s">
        <v>593</v>
      </c>
      <c r="C389" s="7"/>
      <c r="D389" s="7"/>
      <c r="E389" s="7"/>
      <c r="F389" s="7"/>
      <c r="I389" s="7"/>
      <c r="J389" s="7"/>
      <c r="K389" s="7"/>
    </row>
    <row r="390" spans="1:11" customFormat="1" ht="18" customHeight="1" x14ac:dyDescent="0.2">
      <c r="A390" s="45"/>
      <c r="B390" s="41" t="s">
        <v>610</v>
      </c>
      <c r="C390" s="7"/>
      <c r="D390" s="7"/>
      <c r="E390" s="7"/>
      <c r="F390" s="7"/>
      <c r="G390" s="7"/>
      <c r="H390" s="7"/>
      <c r="I390" s="7"/>
      <c r="J390" s="7"/>
      <c r="K390" s="7"/>
    </row>
    <row r="392" spans="1:11" x14ac:dyDescent="0.2">
      <c r="C392" s="40" t="s">
        <v>594</v>
      </c>
      <c r="D392" s="7" t="s">
        <v>595</v>
      </c>
      <c r="H392" s="40" t="s">
        <v>329</v>
      </c>
    </row>
    <row r="393" spans="1:11" x14ac:dyDescent="0.2">
      <c r="C393" s="7" cm="1">
        <f t="array" ref="C393:F403">L.PPDER(_xlfn.ANCHORARRAY(G272))</f>
        <v>2</v>
      </c>
      <c r="D393" s="7">
        <v>-3</v>
      </c>
      <c r="E393" s="7">
        <v>2</v>
      </c>
      <c r="F393" s="7">
        <v>0</v>
      </c>
      <c r="H393" s="7" cm="1">
        <f t="array" ref="H393:H403">L.PPVAL(_xlfn.ANCHORARRAY(C393),C393:C403)</f>
        <v>0</v>
      </c>
    </row>
    <row r="394" spans="1:11" x14ac:dyDescent="0.2">
      <c r="C394" s="7">
        <v>3</v>
      </c>
      <c r="D394" s="7">
        <v>7.5</v>
      </c>
      <c r="E394" s="7">
        <v>-7</v>
      </c>
      <c r="F394" s="7">
        <v>-1</v>
      </c>
      <c r="H394" s="7">
        <v>-1</v>
      </c>
    </row>
    <row r="395" spans="1:11" x14ac:dyDescent="0.2">
      <c r="C395" s="7">
        <v>4</v>
      </c>
      <c r="D395" s="7">
        <v>-9</v>
      </c>
      <c r="E395" s="7">
        <v>9</v>
      </c>
      <c r="F395" s="7">
        <v>-0.5</v>
      </c>
      <c r="H395" s="7">
        <v>-0.5</v>
      </c>
    </row>
    <row r="396" spans="1:11" x14ac:dyDescent="0.2">
      <c r="C396" s="7">
        <v>5</v>
      </c>
      <c r="D396" s="7">
        <v>8.25</v>
      </c>
      <c r="E396" s="7">
        <v>-8.5</v>
      </c>
      <c r="F396" s="7">
        <v>-0.5</v>
      </c>
      <c r="H396" s="7">
        <v>-0.5</v>
      </c>
    </row>
    <row r="397" spans="1:11" x14ac:dyDescent="0.2">
      <c r="C397" s="7">
        <v>6</v>
      </c>
      <c r="D397" s="7">
        <v>0.75</v>
      </c>
      <c r="E397" s="7">
        <v>2</v>
      </c>
      <c r="F397" s="7">
        <v>-0.75</v>
      </c>
      <c r="H397" s="7">
        <v>-0.75</v>
      </c>
    </row>
    <row r="398" spans="1:11" x14ac:dyDescent="0.2">
      <c r="C398" s="7">
        <v>7</v>
      </c>
      <c r="D398" s="7">
        <v>-14.25</v>
      </c>
      <c r="E398" s="7">
        <v>12.5</v>
      </c>
      <c r="F398" s="7">
        <v>2</v>
      </c>
      <c r="H398" s="7">
        <v>2</v>
      </c>
    </row>
    <row r="399" spans="1:11" x14ac:dyDescent="0.2">
      <c r="C399" s="7">
        <v>8</v>
      </c>
      <c r="D399" s="7">
        <v>14.25</v>
      </c>
      <c r="E399" s="7">
        <v>-16</v>
      </c>
      <c r="F399" s="7">
        <v>0.25</v>
      </c>
      <c r="H399" s="7">
        <v>0.25</v>
      </c>
    </row>
    <row r="400" spans="1:11" x14ac:dyDescent="0.2">
      <c r="C400" s="7">
        <v>9</v>
      </c>
      <c r="D400" s="7">
        <v>-0.75</v>
      </c>
      <c r="E400" s="7">
        <v>3.5</v>
      </c>
      <c r="F400" s="7">
        <v>-1.5</v>
      </c>
      <c r="H400" s="7">
        <v>-1.5</v>
      </c>
    </row>
    <row r="401" spans="3:8" x14ac:dyDescent="0.2">
      <c r="C401" s="7">
        <v>10</v>
      </c>
      <c r="D401" s="7">
        <v>-8.25</v>
      </c>
      <c r="E401" s="7">
        <v>8</v>
      </c>
      <c r="F401" s="7">
        <v>1.25</v>
      </c>
      <c r="H401" s="7">
        <v>1.25</v>
      </c>
    </row>
    <row r="402" spans="3:8" x14ac:dyDescent="0.2">
      <c r="C402" s="7">
        <v>11</v>
      </c>
      <c r="D402" s="7">
        <v>4.5</v>
      </c>
      <c r="E402" s="7">
        <v>-6</v>
      </c>
      <c r="F402" s="7">
        <v>1</v>
      </c>
      <c r="H402" s="7">
        <v>1</v>
      </c>
    </row>
    <row r="403" spans="3:8" x14ac:dyDescent="0.2">
      <c r="C403" s="7">
        <v>12</v>
      </c>
      <c r="D403" s="7" t="str">
        <v/>
      </c>
      <c r="E403" s="7" t="str">
        <v/>
      </c>
      <c r="F403" s="7" t="str">
        <v/>
      </c>
      <c r="H403" s="7">
        <v>-0.5</v>
      </c>
    </row>
    <row r="405" spans="3:8" x14ac:dyDescent="0.2">
      <c r="C405" s="40" t="s">
        <v>594</v>
      </c>
      <c r="D405" s="7" t="s">
        <v>596</v>
      </c>
      <c r="H405" s="40" t="s">
        <v>329</v>
      </c>
    </row>
    <row r="406" spans="3:8" x14ac:dyDescent="0.2">
      <c r="C406" s="7" cm="1">
        <f t="array" ref="C406:E416">L.PPDER(_xlfn.ANCHORARRAY(C393))</f>
        <v>2</v>
      </c>
      <c r="D406" s="7">
        <v>-6</v>
      </c>
      <c r="E406" s="7">
        <v>2</v>
      </c>
      <c r="H406" s="7" cm="1">
        <f t="array" ref="H406:H416">L.PPVAL(_xlfn.ANCHORARRAY(C406),C406:C416)</f>
        <v>2</v>
      </c>
    </row>
    <row r="407" spans="3:8" x14ac:dyDescent="0.2">
      <c r="C407" s="7">
        <v>3</v>
      </c>
      <c r="D407" s="7">
        <v>15</v>
      </c>
      <c r="E407" s="7">
        <v>-7</v>
      </c>
      <c r="H407" s="7">
        <v>-7</v>
      </c>
    </row>
    <row r="408" spans="3:8" x14ac:dyDescent="0.2">
      <c r="C408" s="7">
        <v>4</v>
      </c>
      <c r="D408" s="7">
        <v>-18</v>
      </c>
      <c r="E408" s="7">
        <v>9</v>
      </c>
      <c r="H408" s="7">
        <v>9</v>
      </c>
    </row>
    <row r="409" spans="3:8" x14ac:dyDescent="0.2">
      <c r="C409" s="7">
        <v>5</v>
      </c>
      <c r="D409" s="7">
        <v>16.5</v>
      </c>
      <c r="E409" s="7">
        <v>-8.5</v>
      </c>
      <c r="H409" s="7">
        <v>-8.5</v>
      </c>
    </row>
    <row r="410" spans="3:8" x14ac:dyDescent="0.2">
      <c r="C410" s="7">
        <v>6</v>
      </c>
      <c r="D410" s="7">
        <v>1.5</v>
      </c>
      <c r="E410" s="7">
        <v>2</v>
      </c>
      <c r="H410" s="7">
        <v>2</v>
      </c>
    </row>
    <row r="411" spans="3:8" x14ac:dyDescent="0.2">
      <c r="C411" s="7">
        <v>7</v>
      </c>
      <c r="D411" s="7">
        <v>-28.5</v>
      </c>
      <c r="E411" s="7">
        <v>12.5</v>
      </c>
      <c r="H411" s="7">
        <v>12.5</v>
      </c>
    </row>
    <row r="412" spans="3:8" x14ac:dyDescent="0.2">
      <c r="C412" s="7">
        <v>8</v>
      </c>
      <c r="D412" s="7">
        <v>28.5</v>
      </c>
      <c r="E412" s="7">
        <v>-16</v>
      </c>
      <c r="H412" s="7">
        <v>-16</v>
      </c>
    </row>
    <row r="413" spans="3:8" x14ac:dyDescent="0.2">
      <c r="C413" s="7">
        <v>9</v>
      </c>
      <c r="D413" s="7">
        <v>-1.5</v>
      </c>
      <c r="E413" s="7">
        <v>3.5</v>
      </c>
      <c r="H413" s="7">
        <v>3.5</v>
      </c>
    </row>
    <row r="414" spans="3:8" x14ac:dyDescent="0.2">
      <c r="C414" s="7">
        <v>10</v>
      </c>
      <c r="D414" s="7">
        <v>-16.5</v>
      </c>
      <c r="E414" s="7">
        <v>8</v>
      </c>
      <c r="H414" s="7">
        <v>8</v>
      </c>
    </row>
    <row r="415" spans="3:8" x14ac:dyDescent="0.2">
      <c r="C415" s="7">
        <v>11</v>
      </c>
      <c r="D415" s="7">
        <v>9</v>
      </c>
      <c r="E415" s="7">
        <v>-6</v>
      </c>
      <c r="H415" s="7">
        <v>-6</v>
      </c>
    </row>
    <row r="416" spans="3:8" x14ac:dyDescent="0.2">
      <c r="C416" s="7">
        <v>12</v>
      </c>
      <c r="D416" s="7" t="str">
        <v/>
      </c>
      <c r="E416" s="7" t="str">
        <v/>
      </c>
      <c r="H416" s="7">
        <v>3</v>
      </c>
    </row>
    <row r="419" spans="1:11" customFormat="1" ht="23.25" x14ac:dyDescent="0.2">
      <c r="A419" s="45" t="s">
        <v>6</v>
      </c>
      <c r="B419" s="12" t="s">
        <v>776</v>
      </c>
      <c r="C419" s="8"/>
      <c r="D419" s="8"/>
      <c r="E419" s="8"/>
      <c r="F419" s="8"/>
      <c r="G419" s="8"/>
      <c r="H419" s="8"/>
      <c r="I419" s="8"/>
      <c r="J419" s="8"/>
      <c r="K419" s="7"/>
    </row>
    <row r="420" spans="1:11" customFormat="1" ht="18" customHeight="1" x14ac:dyDescent="0.2">
      <c r="A420" s="45"/>
      <c r="B420" s="38" t="s">
        <v>573</v>
      </c>
      <c r="C420" s="7"/>
      <c r="D420" s="7"/>
      <c r="E420" s="7"/>
      <c r="F420" s="7"/>
      <c r="I420" s="7"/>
      <c r="J420" s="7"/>
      <c r="K420" s="7"/>
    </row>
    <row r="421" spans="1:11" customFormat="1" ht="18" customHeight="1" x14ac:dyDescent="0.2">
      <c r="A421" s="45"/>
      <c r="B421" s="41" t="s">
        <v>575</v>
      </c>
      <c r="C421" s="7"/>
      <c r="D421" s="7"/>
      <c r="E421" s="7"/>
      <c r="F421" s="7"/>
      <c r="G421" s="7"/>
      <c r="H421" s="7"/>
      <c r="I421" s="7"/>
      <c r="J421" s="7"/>
      <c r="K421" s="7"/>
    </row>
    <row r="423" spans="1:11" x14ac:dyDescent="0.2">
      <c r="C423" s="57" t="s">
        <v>576</v>
      </c>
    </row>
    <row r="424" spans="1:11" x14ac:dyDescent="0.2">
      <c r="C424" s="40" t="s">
        <v>574</v>
      </c>
      <c r="D424" s="7" cm="1">
        <f t="array" ref="D424">L.PPINT(_xlfn.ANCHORARRAY(G272))</f>
        <v>29.041666666666664</v>
      </c>
    </row>
    <row r="426" spans="1:11" x14ac:dyDescent="0.2">
      <c r="C426" s="57" t="s">
        <v>577</v>
      </c>
    </row>
    <row r="427" spans="1:11" x14ac:dyDescent="0.2">
      <c r="C427" s="40" t="s">
        <v>574</v>
      </c>
      <c r="D427" s="7" cm="1">
        <f t="array" ref="D427">L.PPINT(C236:H239)</f>
        <v>528.58333333333337</v>
      </c>
    </row>
    <row r="429" spans="1:11" x14ac:dyDescent="0.2">
      <c r="C429" s="57" t="s">
        <v>578</v>
      </c>
    </row>
    <row r="430" spans="1:11" x14ac:dyDescent="0.2">
      <c r="C430" s="40" t="s">
        <v>574</v>
      </c>
      <c r="D430" s="7" cm="1">
        <f t="array" ref="D430:D433">L.PPINT(C236:H239,,,TRUE)</f>
        <v>0</v>
      </c>
    </row>
    <row r="431" spans="1:11" x14ac:dyDescent="0.2">
      <c r="D431" s="7">
        <v>154.66666666666669</v>
      </c>
    </row>
    <row r="432" spans="1:11" x14ac:dyDescent="0.2">
      <c r="D432" s="7">
        <v>550.66666666666674</v>
      </c>
    </row>
    <row r="433" spans="1:11" x14ac:dyDescent="0.2">
      <c r="D433" s="7">
        <v>528.58333333333337</v>
      </c>
    </row>
    <row r="437" spans="1:11" customFormat="1" ht="23.25" x14ac:dyDescent="0.2">
      <c r="A437" s="45" t="s">
        <v>6</v>
      </c>
      <c r="B437" s="12" t="s">
        <v>777</v>
      </c>
      <c r="C437" s="8"/>
      <c r="D437" s="8"/>
      <c r="E437" s="8"/>
      <c r="F437" s="8"/>
      <c r="G437" s="8"/>
      <c r="H437" s="8"/>
      <c r="I437" s="8"/>
      <c r="J437" s="8"/>
      <c r="K437" s="7"/>
    </row>
    <row r="438" spans="1:11" customFormat="1" ht="18" customHeight="1" x14ac:dyDescent="0.2">
      <c r="A438" s="45"/>
      <c r="B438" s="38" t="s">
        <v>361</v>
      </c>
      <c r="C438" s="7"/>
      <c r="D438" s="7"/>
      <c r="E438" s="7"/>
      <c r="F438" s="7"/>
      <c r="I438" s="7"/>
      <c r="J438" s="7"/>
      <c r="K438" s="7"/>
    </row>
    <row r="439" spans="1:11" customFormat="1" ht="18" customHeight="1" x14ac:dyDescent="0.2">
      <c r="A439" s="45"/>
      <c r="B439" s="41" t="s">
        <v>495</v>
      </c>
      <c r="C439" s="7"/>
      <c r="D439" s="7"/>
      <c r="E439" s="7"/>
      <c r="F439" s="7"/>
      <c r="G439" s="7"/>
      <c r="H439" s="7"/>
      <c r="I439" s="7"/>
      <c r="J439" s="7"/>
      <c r="K439" s="7"/>
    </row>
    <row r="441" spans="1:11" ht="16.5" x14ac:dyDescent="0.2">
      <c r="B441" s="110" t="s">
        <v>380</v>
      </c>
      <c r="D441" s="45" t="s">
        <v>362</v>
      </c>
      <c r="E441" s="45" t="s">
        <v>125</v>
      </c>
      <c r="F441" s="45" t="s">
        <v>126</v>
      </c>
      <c r="G441" s="45" t="s">
        <v>363</v>
      </c>
    </row>
    <row r="442" spans="1:11" x14ac:dyDescent="0.2">
      <c r="B442" s="76">
        <v>10</v>
      </c>
      <c r="D442" s="77" t="s">
        <v>214</v>
      </c>
      <c r="E442" s="76" cm="1">
        <f t="array" ref="E442:G442">INDEX(D460:F469,B442,)</f>
        <v>2</v>
      </c>
      <c r="F442" s="76">
        <v>9</v>
      </c>
      <c r="G442" s="76">
        <v>-5</v>
      </c>
    </row>
    <row r="444" spans="1:11" x14ac:dyDescent="0.2">
      <c r="D444" s="40" t="s">
        <v>364</v>
      </c>
      <c r="E444" s="45"/>
      <c r="F444" s="40" t="s">
        <v>381</v>
      </c>
      <c r="G444" s="94">
        <f>-F442/(2*E442)</f>
        <v>-2.25</v>
      </c>
    </row>
    <row r="445" spans="1:11" ht="18.75" x14ac:dyDescent="0.2">
      <c r="C445" s="16" t="s">
        <v>368</v>
      </c>
      <c r="D445" s="109" cm="1">
        <f t="array" ref="D445:D446">L.QUADRATIC(E442:G442)</f>
        <v>0.5</v>
      </c>
      <c r="E445" s="45"/>
      <c r="F445" s="40" t="s">
        <v>382</v>
      </c>
      <c r="G445" s="94">
        <f>(4*E442*G442-F442^2)/(4*E442)</f>
        <v>-15.125</v>
      </c>
    </row>
    <row r="446" spans="1:11" ht="18.75" x14ac:dyDescent="0.2">
      <c r="C446" s="16" t="s">
        <v>369</v>
      </c>
      <c r="D446" s="109">
        <v>-5</v>
      </c>
      <c r="F446" s="40" t="s">
        <v>383</v>
      </c>
      <c r="G446" s="94">
        <f>F442^2-4*E442*G442</f>
        <v>121</v>
      </c>
    </row>
    <row r="447" spans="1:11" x14ac:dyDescent="0.2">
      <c r="F447" s="40" t="s">
        <v>385</v>
      </c>
      <c r="G447" s="94">
        <f>SQRT(ABS(G444^2-G442/E442))</f>
        <v>2.75</v>
      </c>
    </row>
    <row r="449" spans="2:8" x14ac:dyDescent="0.2">
      <c r="C449" s="7" t="s">
        <v>367</v>
      </c>
    </row>
    <row r="450" spans="2:8" x14ac:dyDescent="0.2">
      <c r="C450" s="77" t="s">
        <v>366</v>
      </c>
      <c r="D450" s="76">
        <f>IF(ISNUMBER(D445),IF(D445=G444,G444+10,G444+2*(D445-G444)),G444+IF(G447&lt;0.001,1,G447))</f>
        <v>3.25</v>
      </c>
    </row>
    <row r="451" spans="2:8" x14ac:dyDescent="0.2">
      <c r="C451" s="77" t="s">
        <v>365</v>
      </c>
      <c r="D451" s="76">
        <f>IF(ISNUMBER(D446),IF(D446=G444,G444-10,G444+2*(D446-G444)),G444-IF(G447&lt;0.001,1,G447))</f>
        <v>-7.75</v>
      </c>
    </row>
    <row r="452" spans="2:8" x14ac:dyDescent="0.2">
      <c r="C452" s="40" t="s">
        <v>328</v>
      </c>
      <c r="D452" s="7" cm="1">
        <f t="array" ref="D452:H452">TRANSPOSE(L.LINSPACE(D451,D450,5))</f>
        <v>-7.75</v>
      </c>
      <c r="E452" s="7">
        <v>-5</v>
      </c>
      <c r="F452" s="7">
        <v>-2.25</v>
      </c>
      <c r="G452" s="7">
        <v>0.5</v>
      </c>
      <c r="H452" s="7">
        <v>3.25</v>
      </c>
    </row>
    <row r="453" spans="2:8" x14ac:dyDescent="0.2">
      <c r="C453" s="40" t="s">
        <v>351</v>
      </c>
      <c r="D453" s="7" cm="1">
        <f t="array" ref="D453:H453">TRANSPOSE(L.POLYVAL(E442:G442,TRANSPOSE(_xlfn.ANCHORARRAY(D452))))</f>
        <v>45.375</v>
      </c>
      <c r="E453" s="7">
        <v>0</v>
      </c>
      <c r="F453" s="7">
        <v>-15.125</v>
      </c>
      <c r="G453" s="7">
        <v>0</v>
      </c>
      <c r="H453" s="7">
        <v>45.375</v>
      </c>
    </row>
    <row r="455" spans="2:8" x14ac:dyDescent="0.2">
      <c r="C455" s="7" t="s">
        <v>393</v>
      </c>
    </row>
    <row r="456" spans="2:8" x14ac:dyDescent="0.2">
      <c r="C456" s="40" t="s">
        <v>386</v>
      </c>
      <c r="D456" s="7" cm="1">
        <f t="array" ref="D456:H456">_xlfn.LET(_xlpm.maxi,IF(G446=0,10,G447),TRANSPOSE(L.LINSPACE(-_xlpm.maxi,_xlpm.maxi,5)))</f>
        <v>-2.75</v>
      </c>
      <c r="E456" s="7">
        <v>-1.375</v>
      </c>
      <c r="F456" s="7">
        <v>0</v>
      </c>
      <c r="G456" s="7">
        <v>1.375</v>
      </c>
      <c r="H456" s="7">
        <v>2.75</v>
      </c>
    </row>
    <row r="457" spans="2:8" x14ac:dyDescent="0.2">
      <c r="C457" s="40" t="s">
        <v>351</v>
      </c>
      <c r="D457" s="7" t="e" cm="1">
        <f t="array" aca="1" ref="D457" ca="1">TRANSPOSE(IM_ROUNDTOZERO(L.POLYVAL(_xlfn.ANCHORARRAY($E$442),COMPLEX($G$444,TRANSPOSE(_xlfn.ANCHORARRAY(D456)))),0.000000000001))</f>
        <v>#NAME?</v>
      </c>
    </row>
    <row r="459" spans="2:8" ht="18.75" x14ac:dyDescent="0.2">
      <c r="B459" s="57" t="s">
        <v>371</v>
      </c>
      <c r="C459" s="45" t="s">
        <v>370</v>
      </c>
      <c r="G459" s="57" t="s">
        <v>372</v>
      </c>
    </row>
    <row r="460" spans="2:8" x14ac:dyDescent="0.2">
      <c r="C460" s="77">
        <v>1</v>
      </c>
      <c r="D460" s="76">
        <v>-0.25</v>
      </c>
      <c r="E460" s="76">
        <v>21</v>
      </c>
      <c r="F460" s="76">
        <v>-441</v>
      </c>
      <c r="G460" s="7" t="s">
        <v>373</v>
      </c>
    </row>
    <row r="461" spans="2:8" x14ac:dyDescent="0.2">
      <c r="C461" s="77">
        <v>2</v>
      </c>
      <c r="D461" s="76">
        <v>1</v>
      </c>
      <c r="E461" s="76">
        <v>-100</v>
      </c>
      <c r="F461" s="76">
        <v>0</v>
      </c>
      <c r="G461" s="7" t="s">
        <v>374</v>
      </c>
    </row>
    <row r="462" spans="2:8" x14ac:dyDescent="0.2">
      <c r="C462" s="77">
        <v>3</v>
      </c>
      <c r="D462" s="76">
        <v>1</v>
      </c>
      <c r="E462" s="76">
        <v>100</v>
      </c>
      <c r="F462" s="76">
        <v>0</v>
      </c>
      <c r="G462" s="7" t="s">
        <v>374</v>
      </c>
    </row>
    <row r="463" spans="2:8" x14ac:dyDescent="0.2">
      <c r="C463" s="77">
        <v>4</v>
      </c>
      <c r="D463" s="76">
        <v>-1</v>
      </c>
      <c r="E463" s="76">
        <v>100</v>
      </c>
      <c r="F463" s="76">
        <v>0</v>
      </c>
      <c r="G463" s="7" t="s">
        <v>374</v>
      </c>
    </row>
    <row r="464" spans="2:8" x14ac:dyDescent="0.2">
      <c r="C464" s="77">
        <v>5</v>
      </c>
      <c r="D464" s="76">
        <v>16</v>
      </c>
      <c r="E464" s="76">
        <v>2</v>
      </c>
      <c r="F464" s="76">
        <v>0</v>
      </c>
      <c r="G464" s="7" t="s">
        <v>375</v>
      </c>
    </row>
    <row r="465" spans="1:11" x14ac:dyDescent="0.2">
      <c r="C465" s="77">
        <v>6</v>
      </c>
      <c r="D465" s="76">
        <v>16</v>
      </c>
      <c r="E465" s="76">
        <v>2</v>
      </c>
      <c r="F465" s="76">
        <v>4</v>
      </c>
      <c r="G465" s="7" t="s">
        <v>376</v>
      </c>
    </row>
    <row r="466" spans="1:11" x14ac:dyDescent="0.2">
      <c r="C466" s="77">
        <v>7</v>
      </c>
      <c r="D466" s="76">
        <v>4</v>
      </c>
      <c r="E466" s="76">
        <f>4*SQRT(3)</f>
        <v>6.9282032302755088</v>
      </c>
      <c r="F466" s="76">
        <v>3</v>
      </c>
      <c r="G466" s="111" t="s">
        <v>394</v>
      </c>
    </row>
    <row r="467" spans="1:11" x14ac:dyDescent="0.2">
      <c r="C467" s="77">
        <v>8</v>
      </c>
      <c r="D467" s="76">
        <v>1</v>
      </c>
      <c r="E467" s="76">
        <v>-24691356</v>
      </c>
      <c r="F467" s="76">
        <v>-1</v>
      </c>
      <c r="G467" s="7" t="s">
        <v>377</v>
      </c>
    </row>
    <row r="468" spans="1:11" x14ac:dyDescent="0.2">
      <c r="C468" s="77">
        <v>9</v>
      </c>
      <c r="D468" s="76">
        <v>1</v>
      </c>
      <c r="E468" s="76">
        <v>-1</v>
      </c>
      <c r="F468" s="76">
        <v>-6</v>
      </c>
      <c r="G468" s="7" t="s">
        <v>378</v>
      </c>
    </row>
    <row r="469" spans="1:11" x14ac:dyDescent="0.2">
      <c r="C469" s="77">
        <v>10</v>
      </c>
      <c r="D469" s="76">
        <v>2</v>
      </c>
      <c r="E469" s="76">
        <v>9</v>
      </c>
      <c r="F469" s="76">
        <v>-5</v>
      </c>
      <c r="G469" s="7" t="s">
        <v>379</v>
      </c>
    </row>
    <row r="472" spans="1:11" customFormat="1" ht="23.25" x14ac:dyDescent="0.2">
      <c r="A472" s="45" t="s">
        <v>6</v>
      </c>
      <c r="B472" s="12" t="s">
        <v>778</v>
      </c>
      <c r="C472" s="8"/>
      <c r="D472" s="8"/>
      <c r="E472" s="8"/>
      <c r="F472" s="8"/>
      <c r="G472" s="8"/>
      <c r="H472" s="8"/>
      <c r="I472" s="8"/>
      <c r="J472" s="8"/>
      <c r="K472" s="7"/>
    </row>
    <row r="473" spans="1:11" customFormat="1" ht="18" customHeight="1" x14ac:dyDescent="0.2">
      <c r="A473" s="45"/>
      <c r="B473" s="46" t="s">
        <v>440</v>
      </c>
      <c r="C473" s="7"/>
      <c r="D473" s="7"/>
      <c r="E473" s="7"/>
      <c r="F473" s="7"/>
      <c r="I473" s="7"/>
      <c r="J473" s="7"/>
      <c r="K473" s="7"/>
    </row>
    <row r="474" spans="1:11" customFormat="1" ht="18" customHeight="1" x14ac:dyDescent="0.2">
      <c r="A474" s="45"/>
      <c r="B474" s="41" t="s">
        <v>496</v>
      </c>
      <c r="C474" s="7"/>
      <c r="D474" s="7"/>
      <c r="E474" s="7"/>
      <c r="F474" s="7"/>
      <c r="G474" s="7"/>
      <c r="H474" s="7"/>
      <c r="I474" s="7"/>
      <c r="J474" s="7"/>
      <c r="K474" s="7"/>
    </row>
    <row r="475" spans="1:11" x14ac:dyDescent="0.2">
      <c r="B475" s="48" t="s">
        <v>779</v>
      </c>
      <c r="G475"/>
      <c r="J475" s="119"/>
    </row>
    <row r="476" spans="1:11" x14ac:dyDescent="0.2">
      <c r="B476" s="48"/>
      <c r="G476"/>
      <c r="J476" s="119"/>
    </row>
    <row r="477" spans="1:11" ht="18.75" x14ac:dyDescent="0.2">
      <c r="C477" s="77" t="s">
        <v>224</v>
      </c>
      <c r="D477" s="77" t="s">
        <v>225</v>
      </c>
      <c r="E477" s="77" t="s">
        <v>226</v>
      </c>
      <c r="F477" s="77" t="s">
        <v>227</v>
      </c>
      <c r="G477" s="77" t="s">
        <v>228</v>
      </c>
      <c r="I477" s="7" t="s">
        <v>452</v>
      </c>
    </row>
    <row r="478" spans="1:11" ht="16.5" x14ac:dyDescent="0.2">
      <c r="B478" s="72" t="s">
        <v>229</v>
      </c>
      <c r="C478" s="76">
        <v>1</v>
      </c>
      <c r="D478" s="76">
        <v>2</v>
      </c>
      <c r="E478" s="76">
        <v>3</v>
      </c>
      <c r="F478" s="76">
        <v>0</v>
      </c>
      <c r="G478" s="76">
        <v>0</v>
      </c>
      <c r="I478" s="7" t="s">
        <v>449</v>
      </c>
    </row>
    <row r="479" spans="1:11" x14ac:dyDescent="0.2">
      <c r="I479" s="7" t="s">
        <v>453</v>
      </c>
    </row>
    <row r="480" spans="1:11" x14ac:dyDescent="0.2">
      <c r="C480" s="77" t="s">
        <v>442</v>
      </c>
      <c r="D480" s="76"/>
      <c r="E480" s="7" t="s">
        <v>450</v>
      </c>
    </row>
    <row r="481" spans="1:11" x14ac:dyDescent="0.2">
      <c r="C481" s="77" t="s">
        <v>441</v>
      </c>
      <c r="D481" s="120"/>
      <c r="E481" s="7" t="s">
        <v>451</v>
      </c>
    </row>
    <row r="482" spans="1:11" x14ac:dyDescent="0.2">
      <c r="C482" s="77" t="s">
        <v>443</v>
      </c>
      <c r="D482" s="121"/>
      <c r="E482" s="7" t="s">
        <v>444</v>
      </c>
    </row>
    <row r="483" spans="1:11" x14ac:dyDescent="0.2">
      <c r="C483" s="77" t="s">
        <v>445</v>
      </c>
      <c r="D483" s="76"/>
      <c r="E483" s="7" t="s">
        <v>446</v>
      </c>
    </row>
    <row r="485" spans="1:11" x14ac:dyDescent="0.2">
      <c r="C485" s="40" t="s">
        <v>447</v>
      </c>
      <c r="G485" s="40" t="s">
        <v>448</v>
      </c>
      <c r="H485" s="7" t="s">
        <v>763</v>
      </c>
    </row>
    <row r="486" spans="1:11" x14ac:dyDescent="0.2">
      <c r="C486" s="7" t="str" cm="1">
        <f t="array" ref="C486:C489">L.POLYROOTS(C478:G478,D481,D480,D482,D483)</f>
        <v>5.00972502648962E-14-4.30709372080393E-13i</v>
      </c>
      <c r="G486" s="7" t="str" cm="1">
        <f t="array" ref="G486:G489">L.POLYVAL(C478:G478,_xlfn.ANCHORARRAY(C486))</f>
        <v>-5.49002486141404E-25-1.29464131227133E-25i</v>
      </c>
    </row>
    <row r="487" spans="1:11" x14ac:dyDescent="0.2">
      <c r="C487" s="7" t="str">
        <v>-1+1.4142135623731i</v>
      </c>
      <c r="G487" s="7" t="str">
        <v>2.93098878501041E-14+4.08562073062058E-14i</v>
      </c>
    </row>
    <row r="488" spans="1:11" x14ac:dyDescent="0.2">
      <c r="C488" s="7" t="str">
        <v>-5.00972502648952E-14+4.30709372080393E-13i</v>
      </c>
      <c r="G488" s="7" t="str">
        <v>-5.49002486141294E-25-1.29464131227437E-25i</v>
      </c>
    </row>
    <row r="489" spans="1:11" x14ac:dyDescent="0.2">
      <c r="C489" s="7" t="str">
        <v>-1-1.4142135623731i</v>
      </c>
      <c r="G489" s="7" t="str">
        <v>2.93098878501041E-14-4.08562073062058E-14i</v>
      </c>
    </row>
    <row r="490" spans="1:11" x14ac:dyDescent="0.2">
      <c r="C490" s="213"/>
      <c r="D490" s="213"/>
    </row>
    <row r="492" spans="1:11" customFormat="1" ht="23.25" x14ac:dyDescent="0.2">
      <c r="A492" s="45" t="s">
        <v>6</v>
      </c>
      <c r="B492" s="12" t="s">
        <v>780</v>
      </c>
      <c r="C492" s="8"/>
      <c r="D492" s="8"/>
      <c r="E492" s="8"/>
      <c r="F492" s="8"/>
      <c r="G492" s="8"/>
      <c r="H492" s="8"/>
      <c r="I492" s="8"/>
      <c r="J492" s="8"/>
      <c r="K492" s="7"/>
    </row>
    <row r="493" spans="1:11" customFormat="1" ht="18" customHeight="1" x14ac:dyDescent="0.2">
      <c r="A493" s="45"/>
      <c r="B493" s="46" t="s">
        <v>458</v>
      </c>
      <c r="C493" s="7"/>
      <c r="D493" s="7"/>
      <c r="E493" s="7"/>
      <c r="F493" s="7"/>
      <c r="I493" s="7"/>
      <c r="J493" s="7"/>
      <c r="K493" s="7"/>
    </row>
    <row r="494" spans="1:11" customFormat="1" ht="18" customHeight="1" x14ac:dyDescent="0.2">
      <c r="A494" s="45"/>
      <c r="B494" s="41" t="s">
        <v>497</v>
      </c>
      <c r="C494" s="7"/>
      <c r="D494" s="7"/>
      <c r="E494" s="7"/>
      <c r="F494" s="7"/>
      <c r="G494" s="7"/>
      <c r="H494" s="7"/>
      <c r="I494" s="7"/>
      <c r="J494" s="7"/>
      <c r="K494" s="7"/>
    </row>
    <row r="495" spans="1:11" x14ac:dyDescent="0.2">
      <c r="B495" s="48" t="s">
        <v>781</v>
      </c>
      <c r="G495"/>
      <c r="J495" s="119"/>
    </row>
    <row r="496" spans="1:11" x14ac:dyDescent="0.2">
      <c r="B496" s="48"/>
      <c r="G496"/>
      <c r="J496" s="119"/>
    </row>
    <row r="497" spans="1:11" x14ac:dyDescent="0.2">
      <c r="B497" s="48"/>
      <c r="C497" s="40" t="s">
        <v>447</v>
      </c>
      <c r="G497" s="40" t="s">
        <v>457</v>
      </c>
      <c r="J497" s="119"/>
    </row>
    <row r="498" spans="1:11" x14ac:dyDescent="0.2">
      <c r="C498" s="7" t="str">
        <f>C486</f>
        <v>5.00972502648962E-14-4.30709372080393E-13i</v>
      </c>
      <c r="G498" s="7" cm="1">
        <f t="array" ref="G498:K498">L.POLYFROMROOTS(C498:C501)</f>
        <v>1</v>
      </c>
      <c r="H498" s="7">
        <v>2</v>
      </c>
      <c r="I498" s="7">
        <v>3.0000000000000102</v>
      </c>
      <c r="J498" s="7">
        <v>3.6128817599857701E-25</v>
      </c>
      <c r="K498" s="7">
        <v>5.4900248614135097E-25</v>
      </c>
    </row>
    <row r="499" spans="1:11" x14ac:dyDescent="0.2">
      <c r="C499" s="7" t="str">
        <f t="shared" ref="C499:C501" si="4">C487</f>
        <v>-1+1.4142135623731i</v>
      </c>
    </row>
    <row r="500" spans="1:11" x14ac:dyDescent="0.2">
      <c r="C500" s="7" t="str">
        <f t="shared" si="4"/>
        <v>-5.00972502648952E-14+4.30709372080393E-13i</v>
      </c>
    </row>
    <row r="501" spans="1:11" x14ac:dyDescent="0.2">
      <c r="C501" s="7" t="str">
        <f t="shared" si="4"/>
        <v>-1-1.4142135623731i</v>
      </c>
    </row>
    <row r="507" spans="1:11" customFormat="1" ht="18" customHeight="1" x14ac:dyDescent="0.2">
      <c r="A507" s="28" t="s">
        <v>6</v>
      </c>
      <c r="B507" s="13"/>
      <c r="C507" s="14"/>
      <c r="D507" s="6"/>
      <c r="E507" s="6"/>
      <c r="F507" s="6"/>
      <c r="G507" s="6"/>
      <c r="H507" s="6"/>
      <c r="I507" s="6"/>
      <c r="J507" s="6"/>
      <c r="K507" s="7"/>
    </row>
  </sheetData>
  <mergeCells count="3">
    <mergeCell ref="I1:J1"/>
    <mergeCell ref="B5:J7"/>
    <mergeCell ref="C490:D490"/>
  </mergeCells>
  <dataValidations count="1">
    <dataValidation type="list" allowBlank="1" sqref="F354 F357" xr:uid="{A64A3B35-9776-4D5E-9BEB-09A5B4C42E9D}">
      <formula1>"not,free,0,0.5,-0.5,1,-1"</formula1>
    </dataValidation>
  </dataValidations>
  <hyperlinks>
    <hyperlink ref="B2" r:id="rId1" xr:uid="{B6FB5465-96DF-4D7A-8F3B-47621152216D}"/>
    <hyperlink ref="B15" r:id="rId2" xr:uid="{21C68363-2E6A-4E75-A3DC-372D14BC5C4A}"/>
    <hyperlink ref="B11" r:id="rId3" xr:uid="{8B60A803-1B0D-4509-91B5-12A5B2E83737}"/>
    <hyperlink ref="B48" r:id="rId4" xr:uid="{0BF6AB86-E26F-4A60-B972-7C66637BBDA7}"/>
    <hyperlink ref="B82" r:id="rId5" xr:uid="{1529A301-2FBD-426C-9163-5051547EC5E6}"/>
    <hyperlink ref="B121" r:id="rId6" xr:uid="{5327C987-DDF9-4EF8-8385-D4DA8BA05D15}"/>
    <hyperlink ref="B190" r:id="rId7" xr:uid="{EEBA6BCA-C30C-4D76-B2DC-CB9DC05E2631}"/>
    <hyperlink ref="B220" r:id="rId8" xr:uid="{49D4E142-85C0-430A-9110-68A08A70C7AF}"/>
    <hyperlink ref="B231" r:id="rId9" xr:uid="{C9AFF0C2-7A5B-4A03-A167-9F776FDCECF7}"/>
    <hyperlink ref="B438" r:id="rId10" xr:uid="{B9571F3E-C831-495A-B248-2DF8C8AC38C5}"/>
    <hyperlink ref="B265" r:id="rId11" xr:uid="{81B82F28-787E-49AC-A3F5-97C78763BB88}"/>
    <hyperlink ref="B473" r:id="rId12" xr:uid="{1C9ADE4A-548F-4D2E-A3CD-3E858EADEDA0}"/>
    <hyperlink ref="B493" r:id="rId13" xr:uid="{AED0BC33-B7F0-4334-BDC7-84760301C0B0}"/>
    <hyperlink ref="B143" r:id="rId14" xr:uid="{7296C1E5-9251-482C-B5B7-58131AC745BF}"/>
    <hyperlink ref="B168" r:id="rId15" xr:uid="{40690C67-9A5F-465B-8D27-04C747F077B5}"/>
    <hyperlink ref="B179" r:id="rId16" xr:uid="{72DDFF00-90C7-46B5-9788-0969A2B3AD8A}"/>
    <hyperlink ref="B207" r:id="rId17" xr:uid="{E06A21B5-3532-488E-B4F0-357B7EEF1449}"/>
    <hyperlink ref="B420" r:id="rId18" xr:uid="{BC1F8104-3413-4681-9D00-F7117CD9E13E}"/>
    <hyperlink ref="B389" r:id="rId19" xr:uid="{4EFC7B2F-00BE-4478-AA38-B2D27CCD9FBE}"/>
    <hyperlink ref="B311" r:id="rId20" xr:uid="{FC371F22-D306-44C5-8646-71206A683AEB}"/>
    <hyperlink ref="B349" r:id="rId21" xr:uid="{A4D0F349-0B33-458F-8A40-460443938253}"/>
  </hyperlinks>
  <pageMargins left="0.7" right="0.7" top="0.75" bottom="0.75" header="0.3" footer="0.3"/>
  <pageSetup orientation="portrait" horizontalDpi="203" verticalDpi="203"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9038-5FF7-42D8-883D-58BE8B93FE69}">
  <dimension ref="A1:N164"/>
  <sheetViews>
    <sheetView showGridLines="0" workbookViewId="0"/>
  </sheetViews>
  <sheetFormatPr defaultRowHeight="15" x14ac:dyDescent="0.2"/>
  <cols>
    <col min="1" max="1" width="4.5" style="48" customWidth="1"/>
    <col min="2" max="11" width="11.125" style="7" customWidth="1"/>
    <col min="12" max="16384" width="9" style="7"/>
  </cols>
  <sheetData>
    <row r="1" spans="1:11" ht="36.950000000000003" customHeight="1" x14ac:dyDescent="0.2">
      <c r="A1" s="49"/>
      <c r="B1" s="2" t="s">
        <v>121</v>
      </c>
      <c r="C1" s="2"/>
      <c r="D1" s="2"/>
      <c r="E1" s="2"/>
      <c r="F1" s="2"/>
      <c r="G1" s="2"/>
      <c r="H1" s="2"/>
      <c r="I1" s="209" t="e" vm="1">
        <v>#VALUE!</v>
      </c>
      <c r="J1" s="209"/>
    </row>
    <row r="2" spans="1:11" ht="18" customHeight="1" x14ac:dyDescent="0.2">
      <c r="B2" s="46" t="s">
        <v>55</v>
      </c>
      <c r="J2" s="47" t="s">
        <v>909</v>
      </c>
    </row>
    <row r="3" spans="1:11" ht="18" customHeight="1" x14ac:dyDescent="0.2"/>
    <row r="4" spans="1:11" ht="18" customHeight="1" x14ac:dyDescent="0.2">
      <c r="B4" s="21" t="s">
        <v>85</v>
      </c>
    </row>
    <row r="5" spans="1:11" ht="18" customHeight="1" x14ac:dyDescent="0.2">
      <c r="B5" s="212" t="s">
        <v>86</v>
      </c>
      <c r="C5" s="212"/>
      <c r="D5" s="212"/>
      <c r="E5" s="212"/>
      <c r="F5" s="212"/>
      <c r="G5" s="212"/>
      <c r="H5" s="212"/>
      <c r="I5" s="212"/>
      <c r="J5" s="212"/>
    </row>
    <row r="6" spans="1:11" ht="18" customHeight="1" x14ac:dyDescent="0.2">
      <c r="B6" s="212"/>
      <c r="C6" s="212"/>
      <c r="D6" s="212"/>
      <c r="E6" s="212"/>
      <c r="F6" s="212"/>
      <c r="G6" s="212"/>
      <c r="H6" s="212"/>
      <c r="I6" s="212"/>
      <c r="J6" s="212"/>
    </row>
    <row r="7" spans="1:11" ht="18" customHeight="1" x14ac:dyDescent="0.2">
      <c r="B7" s="212"/>
      <c r="C7" s="212"/>
      <c r="D7" s="212"/>
      <c r="E7" s="212"/>
      <c r="F7" s="212"/>
      <c r="G7" s="212"/>
      <c r="H7" s="212"/>
      <c r="I7" s="212"/>
      <c r="J7" s="212"/>
    </row>
    <row r="10" spans="1:11" customFormat="1" ht="23.25" x14ac:dyDescent="0.2">
      <c r="A10" s="7" t="s">
        <v>6</v>
      </c>
      <c r="B10" s="12" t="s">
        <v>787</v>
      </c>
      <c r="C10" s="8"/>
      <c r="D10" s="8"/>
      <c r="E10" s="8"/>
      <c r="F10" s="8"/>
      <c r="G10" s="8"/>
      <c r="H10" s="8"/>
      <c r="I10" s="8"/>
      <c r="J10" s="8"/>
      <c r="K10" s="7"/>
    </row>
    <row r="11" spans="1:11" customFormat="1" ht="18" customHeight="1" x14ac:dyDescent="0.2">
      <c r="A11" s="7"/>
      <c r="B11" s="38" t="s">
        <v>178</v>
      </c>
      <c r="C11" s="7"/>
      <c r="D11" s="7"/>
      <c r="E11" s="7"/>
      <c r="F11" s="7"/>
      <c r="G11" s="7"/>
      <c r="H11" s="7"/>
      <c r="I11" s="7"/>
      <c r="J11" s="7"/>
      <c r="K11" s="7"/>
    </row>
    <row r="12" spans="1:11" x14ac:dyDescent="0.2">
      <c r="B12" s="41" t="s">
        <v>642</v>
      </c>
    </row>
    <row r="14" spans="1:11" x14ac:dyDescent="0.2">
      <c r="C14" s="39" t="s">
        <v>173</v>
      </c>
      <c r="D14" s="42">
        <v>2</v>
      </c>
      <c r="F14" s="39" t="s">
        <v>173</v>
      </c>
      <c r="G14" s="42" t="s">
        <v>175</v>
      </c>
      <c r="I14" s="39" t="s">
        <v>173</v>
      </c>
      <c r="J14" s="42" t="s">
        <v>176</v>
      </c>
    </row>
    <row r="15" spans="1:11" x14ac:dyDescent="0.2">
      <c r="C15" s="39" t="s">
        <v>174</v>
      </c>
      <c r="D15" s="42">
        <v>5</v>
      </c>
      <c r="F15" s="39" t="s">
        <v>174</v>
      </c>
      <c r="G15" s="42" t="s">
        <v>89</v>
      </c>
      <c r="I15" s="39" t="s">
        <v>174</v>
      </c>
      <c r="J15" s="42" t="s">
        <v>177</v>
      </c>
    </row>
    <row r="17" spans="1:11" x14ac:dyDescent="0.2">
      <c r="C17" s="40" t="s">
        <v>97</v>
      </c>
      <c r="F17" s="40" t="s">
        <v>97</v>
      </c>
      <c r="I17" s="40" t="s">
        <v>97</v>
      </c>
    </row>
    <row r="18" spans="1:11" x14ac:dyDescent="0.2">
      <c r="C18" s="59" cm="1">
        <f t="array" ref="C18:C21">L.SE(D14,D15)</f>
        <v>2</v>
      </c>
      <c r="F18" s="59" t="str" cm="1">
        <f t="array" ref="F18:F25">L.SE(G14,G15)</f>
        <v>H</v>
      </c>
      <c r="I18" s="59" t="str" cm="1">
        <f t="array" ref="I18:I23">L.SE(J14,J15)</f>
        <v>⚀</v>
      </c>
    </row>
    <row r="19" spans="1:11" x14ac:dyDescent="0.2">
      <c r="C19" s="45">
        <v>3</v>
      </c>
      <c r="F19" s="45" t="str">
        <v>G</v>
      </c>
      <c r="I19" s="45" t="str">
        <v>⚁</v>
      </c>
    </row>
    <row r="20" spans="1:11" x14ac:dyDescent="0.2">
      <c r="C20" s="45">
        <v>4</v>
      </c>
      <c r="F20" s="45" t="str">
        <v>F</v>
      </c>
      <c r="I20" s="45" t="str">
        <v>⚂</v>
      </c>
    </row>
    <row r="21" spans="1:11" x14ac:dyDescent="0.2">
      <c r="C21" s="45">
        <v>5</v>
      </c>
      <c r="F21" s="45" t="str">
        <v>E</v>
      </c>
      <c r="I21" s="45" t="str">
        <v>⚃</v>
      </c>
    </row>
    <row r="22" spans="1:11" x14ac:dyDescent="0.2">
      <c r="C22" s="45"/>
      <c r="F22" s="45" t="str">
        <v>D</v>
      </c>
      <c r="I22" s="45" t="str">
        <v>⚄</v>
      </c>
    </row>
    <row r="23" spans="1:11" x14ac:dyDescent="0.2">
      <c r="C23" s="45"/>
      <c r="F23" s="45" t="str">
        <v>C</v>
      </c>
      <c r="I23" s="45" t="str">
        <v>⚅</v>
      </c>
    </row>
    <row r="24" spans="1:11" x14ac:dyDescent="0.2">
      <c r="C24" s="45"/>
      <c r="F24" s="45" t="str">
        <v>B</v>
      </c>
      <c r="I24" s="45"/>
    </row>
    <row r="25" spans="1:11" x14ac:dyDescent="0.2">
      <c r="C25" s="45"/>
      <c r="F25" s="45" t="str">
        <v>A</v>
      </c>
      <c r="I25" s="45"/>
    </row>
    <row r="26" spans="1:11" x14ac:dyDescent="0.2">
      <c r="C26" s="45"/>
      <c r="F26" s="45"/>
      <c r="I26" s="45"/>
    </row>
    <row r="28" spans="1:11" customFormat="1" ht="23.25" x14ac:dyDescent="0.2">
      <c r="A28" s="7" t="s">
        <v>6</v>
      </c>
      <c r="B28" s="12" t="s">
        <v>786</v>
      </c>
      <c r="C28" s="8"/>
      <c r="D28" s="8"/>
      <c r="E28" s="8"/>
      <c r="F28" s="8"/>
      <c r="G28" s="8"/>
      <c r="H28" s="8"/>
      <c r="I28" s="8"/>
      <c r="J28" s="8"/>
      <c r="K28" s="7"/>
    </row>
    <row r="29" spans="1:11" customFormat="1" ht="18.75" customHeight="1" x14ac:dyDescent="0.2">
      <c r="A29" s="7"/>
      <c r="B29" s="38" t="s">
        <v>179</v>
      </c>
      <c r="C29" s="7"/>
      <c r="D29" s="7"/>
      <c r="E29" s="7"/>
      <c r="F29" s="7"/>
      <c r="G29" s="7"/>
      <c r="H29" s="7"/>
      <c r="I29" s="7"/>
      <c r="J29" s="7"/>
      <c r="K29" s="7"/>
    </row>
    <row r="30" spans="1:11" x14ac:dyDescent="0.2">
      <c r="B30" s="41" t="s">
        <v>484</v>
      </c>
    </row>
    <row r="32" spans="1:11" x14ac:dyDescent="0.2">
      <c r="D32" s="39" t="s">
        <v>173</v>
      </c>
      <c r="E32" s="42">
        <v>0</v>
      </c>
      <c r="G32" s="40" t="s">
        <v>123</v>
      </c>
      <c r="H32" s="40" t="s">
        <v>124</v>
      </c>
    </row>
    <row r="33" spans="4:8" x14ac:dyDescent="0.2">
      <c r="D33" s="39" t="s">
        <v>174</v>
      </c>
      <c r="E33" s="42">
        <v>720</v>
      </c>
      <c r="G33" s="16" cm="1">
        <f t="array" ref="G33:G52">L.LINSPACE(E32,E33,E34)</f>
        <v>0</v>
      </c>
      <c r="H33" s="16">
        <f>SIN(RADIANS(G33))</f>
        <v>0</v>
      </c>
    </row>
    <row r="34" spans="4:8" x14ac:dyDescent="0.2">
      <c r="D34" s="39" t="s">
        <v>112</v>
      </c>
      <c r="E34" s="42">
        <v>20</v>
      </c>
      <c r="G34" s="16">
        <v>37.89473684210526</v>
      </c>
      <c r="H34" s="16">
        <f t="shared" ref="H34:H52" si="0">SIN(RADIANS(G34))</f>
        <v>0.61421271268966782</v>
      </c>
    </row>
    <row r="35" spans="4:8" x14ac:dyDescent="0.2">
      <c r="G35" s="16">
        <v>75.78947368421052</v>
      </c>
      <c r="H35" s="16">
        <f t="shared" si="0"/>
        <v>0.96940026593933037</v>
      </c>
    </row>
    <row r="36" spans="4:8" x14ac:dyDescent="0.2">
      <c r="G36" s="16">
        <v>113.68421052631578</v>
      </c>
      <c r="H36" s="16">
        <f t="shared" si="0"/>
        <v>0.91577332665505751</v>
      </c>
    </row>
    <row r="37" spans="4:8" x14ac:dyDescent="0.2">
      <c r="D37" s="40" t="s">
        <v>180</v>
      </c>
      <c r="G37" s="16">
        <v>151.57894736842104</v>
      </c>
      <c r="H37" s="16">
        <f t="shared" si="0"/>
        <v>0.47594739303707367</v>
      </c>
    </row>
    <row r="38" spans="4:8" x14ac:dyDescent="0.2">
      <c r="D38" s="45" t="b" cm="1">
        <f t="array" ref="D38:D39">L.ISUNIFORM(_xlfn.ANCHORARRAY(G33))</f>
        <v>0</v>
      </c>
      <c r="G38" s="16">
        <v>189.4736842105263</v>
      </c>
      <c r="H38" s="16">
        <f t="shared" si="0"/>
        <v>-0.16459459028073378</v>
      </c>
    </row>
    <row r="39" spans="4:8" x14ac:dyDescent="0.2">
      <c r="D39" s="45">
        <v>1.1368683772161603E-13</v>
      </c>
      <c r="G39" s="16">
        <v>227.36842105263156</v>
      </c>
      <c r="H39" s="16">
        <f t="shared" si="0"/>
        <v>-0.73572391067313125</v>
      </c>
    </row>
    <row r="40" spans="4:8" x14ac:dyDescent="0.2">
      <c r="G40" s="16">
        <v>265.26315789473682</v>
      </c>
      <c r="H40" s="16">
        <f t="shared" si="0"/>
        <v>-0.99658449300666985</v>
      </c>
    </row>
    <row r="41" spans="4:8" x14ac:dyDescent="0.2">
      <c r="G41" s="16">
        <v>303.15789473684208</v>
      </c>
      <c r="H41" s="16">
        <f t="shared" si="0"/>
        <v>-0.83716647826252877</v>
      </c>
    </row>
    <row r="42" spans="4:8" x14ac:dyDescent="0.2">
      <c r="G42" s="16">
        <v>341.05263157894734</v>
      </c>
      <c r="H42" s="16">
        <f t="shared" si="0"/>
        <v>-0.32469946920468373</v>
      </c>
    </row>
    <row r="43" spans="4:8" x14ac:dyDescent="0.2">
      <c r="G43" s="16">
        <v>378.9473684210526</v>
      </c>
      <c r="H43" s="16">
        <f t="shared" si="0"/>
        <v>0.32469946920468329</v>
      </c>
    </row>
    <row r="44" spans="4:8" x14ac:dyDescent="0.2">
      <c r="G44" s="16">
        <v>416.84210526315786</v>
      </c>
      <c r="H44" s="16">
        <f t="shared" si="0"/>
        <v>0.83716647826252799</v>
      </c>
    </row>
    <row r="45" spans="4:8" x14ac:dyDescent="0.2">
      <c r="G45" s="16">
        <v>454.73684210526312</v>
      </c>
      <c r="H45" s="16">
        <f t="shared" si="0"/>
        <v>0.99658449300666996</v>
      </c>
    </row>
    <row r="46" spans="4:8" x14ac:dyDescent="0.2">
      <c r="G46" s="16">
        <v>492.63157894736838</v>
      </c>
      <c r="H46" s="16">
        <f t="shared" si="0"/>
        <v>0.73572391067313225</v>
      </c>
    </row>
    <row r="47" spans="4:8" x14ac:dyDescent="0.2">
      <c r="G47" s="16">
        <v>530.52631578947364</v>
      </c>
      <c r="H47" s="16">
        <f t="shared" si="0"/>
        <v>0.1645945902807347</v>
      </c>
    </row>
    <row r="48" spans="4:8" x14ac:dyDescent="0.2">
      <c r="G48" s="16">
        <v>568.42105263157896</v>
      </c>
      <c r="H48" s="16">
        <f t="shared" si="0"/>
        <v>-0.4759473930370729</v>
      </c>
    </row>
    <row r="49" spans="1:11" x14ac:dyDescent="0.2">
      <c r="G49" s="16">
        <v>606.31578947368416</v>
      </c>
      <c r="H49" s="16">
        <f t="shared" si="0"/>
        <v>-0.91577332665505717</v>
      </c>
    </row>
    <row r="50" spans="1:11" x14ac:dyDescent="0.2">
      <c r="G50" s="16">
        <v>644.21052631578937</v>
      </c>
      <c r="H50" s="16">
        <f t="shared" si="0"/>
        <v>-0.96940026593933104</v>
      </c>
    </row>
    <row r="51" spans="1:11" x14ac:dyDescent="0.2">
      <c r="G51" s="16">
        <v>682.10526315789457</v>
      </c>
      <c r="H51" s="16">
        <f t="shared" si="0"/>
        <v>-0.6142127126896697</v>
      </c>
    </row>
    <row r="52" spans="1:11" x14ac:dyDescent="0.2">
      <c r="G52" s="16">
        <v>719.99999999999977</v>
      </c>
      <c r="H52" s="16">
        <f t="shared" si="0"/>
        <v>-4.0427730607639489E-15</v>
      </c>
    </row>
    <row r="56" spans="1:11" customFormat="1" ht="23.25" x14ac:dyDescent="0.2">
      <c r="A56" s="7" t="s">
        <v>6</v>
      </c>
      <c r="B56" s="12" t="s">
        <v>785</v>
      </c>
      <c r="C56" s="8"/>
      <c r="D56" s="8"/>
      <c r="E56" s="8"/>
      <c r="F56" s="8"/>
      <c r="G56" s="8"/>
      <c r="H56" s="8"/>
      <c r="I56" s="8"/>
      <c r="J56" s="8"/>
      <c r="K56" s="7"/>
    </row>
    <row r="57" spans="1:11" customFormat="1" ht="18" customHeight="1" x14ac:dyDescent="0.2">
      <c r="A57" s="7"/>
      <c r="B57" s="38" t="s">
        <v>182</v>
      </c>
      <c r="C57" s="7"/>
      <c r="D57" s="7"/>
      <c r="E57" s="7"/>
      <c r="F57" s="7"/>
      <c r="G57" s="7"/>
      <c r="H57" s="7"/>
      <c r="I57" s="7"/>
      <c r="J57" s="7"/>
      <c r="K57" s="7"/>
    </row>
    <row r="58" spans="1:11" x14ac:dyDescent="0.2">
      <c r="B58" s="41" t="s">
        <v>483</v>
      </c>
    </row>
    <row r="60" spans="1:11" x14ac:dyDescent="0.2">
      <c r="C60" s="39" t="s">
        <v>173</v>
      </c>
      <c r="D60" s="39" t="s">
        <v>174</v>
      </c>
      <c r="E60" s="39" t="s">
        <v>112</v>
      </c>
      <c r="G60" s="40" t="s">
        <v>181</v>
      </c>
      <c r="H60" s="40" t="s">
        <v>124</v>
      </c>
      <c r="I60" s="40" t="s">
        <v>183</v>
      </c>
    </row>
    <row r="61" spans="1:11" x14ac:dyDescent="0.2">
      <c r="C61" s="42">
        <v>2</v>
      </c>
      <c r="D61" s="42">
        <f>LOG(PI())</f>
        <v>0.49714987269413385</v>
      </c>
      <c r="E61" s="42">
        <v>11</v>
      </c>
      <c r="G61" s="45" cm="1">
        <f t="array" ref="G61:G71">L.LOGSPACE(C61,D61,E61)</f>
        <v>100</v>
      </c>
      <c r="H61" s="45" cm="1">
        <f t="array" ref="H61:H71">_xlfn.ANCHORARRAY(G61)^0</f>
        <v>1</v>
      </c>
      <c r="I61" s="7" cm="1">
        <f t="array" ref="I61:I71">LOG(_xlfn.ANCHORARRAY(G61))</f>
        <v>2</v>
      </c>
    </row>
    <row r="62" spans="1:11" x14ac:dyDescent="0.2">
      <c r="G62" s="45">
        <v>70.7481336007679</v>
      </c>
      <c r="H62" s="45">
        <v>1</v>
      </c>
      <c r="I62" s="7">
        <v>1.8497149872694136</v>
      </c>
    </row>
    <row r="63" spans="1:11" x14ac:dyDescent="0.2">
      <c r="G63" s="45">
        <v>50.052984079920982</v>
      </c>
      <c r="H63" s="45">
        <v>1</v>
      </c>
      <c r="I63" s="7">
        <v>1.6994299745388268</v>
      </c>
    </row>
    <row r="64" spans="1:11" x14ac:dyDescent="0.2">
      <c r="D64" s="40" t="s">
        <v>180</v>
      </c>
      <c r="G64" s="45">
        <v>35.41155204803357</v>
      </c>
      <c r="H64" s="45">
        <v>1</v>
      </c>
      <c r="I64" s="7">
        <v>1.5491449618082405</v>
      </c>
    </row>
    <row r="65" spans="1:11" x14ac:dyDescent="0.2">
      <c r="D65" s="45" t="b" cm="1">
        <f t="array" ref="D65:D66">L.ISUNIFORM(_xlfn.ANCHORARRAY(I61))</f>
        <v>0</v>
      </c>
      <c r="G65" s="45">
        <v>25.053012153048236</v>
      </c>
      <c r="H65" s="45">
        <v>1</v>
      </c>
      <c r="I65" s="7">
        <v>1.3988599490776539</v>
      </c>
    </row>
    <row r="66" spans="1:11" x14ac:dyDescent="0.2">
      <c r="D66" s="45">
        <v>4.4408920985006262E-16</v>
      </c>
      <c r="G66" s="45">
        <v>17.724538509055169</v>
      </c>
      <c r="H66" s="45">
        <v>1</v>
      </c>
      <c r="I66" s="7">
        <v>1.2485749363470671</v>
      </c>
    </row>
    <row r="67" spans="1:11" x14ac:dyDescent="0.2">
      <c r="G67" s="45">
        <v>12.539780184505897</v>
      </c>
      <c r="H67" s="45">
        <v>1</v>
      </c>
      <c r="I67" s="7">
        <v>1.0982899236164805</v>
      </c>
    </row>
    <row r="68" spans="1:11" x14ac:dyDescent="0.2">
      <c r="G68" s="45">
        <v>8.871660438176848</v>
      </c>
      <c r="H68" s="45">
        <v>1</v>
      </c>
      <c r="I68" s="7">
        <v>0.948004910885894</v>
      </c>
    </row>
    <row r="69" spans="1:11" x14ac:dyDescent="0.2">
      <c r="G69" s="45">
        <v>6.2765341794078227</v>
      </c>
      <c r="H69" s="45">
        <v>1</v>
      </c>
      <c r="I69" s="7">
        <v>0.79771989815530742</v>
      </c>
    </row>
    <row r="70" spans="1:11" x14ac:dyDescent="0.2">
      <c r="G70" s="45">
        <v>4.4405307867453043</v>
      </c>
      <c r="H70" s="45">
        <v>1</v>
      </c>
      <c r="I70" s="7">
        <v>0.64743488542472083</v>
      </c>
    </row>
    <row r="71" spans="1:11" x14ac:dyDescent="0.2">
      <c r="G71" s="45">
        <v>3.1415926535897953</v>
      </c>
      <c r="H71" s="45">
        <v>1</v>
      </c>
      <c r="I71" s="7">
        <v>0.49714987269413413</v>
      </c>
    </row>
    <row r="75" spans="1:11" customFormat="1" ht="23.25" x14ac:dyDescent="0.2">
      <c r="A75" s="7" t="s">
        <v>6</v>
      </c>
      <c r="B75" s="12" t="s">
        <v>784</v>
      </c>
      <c r="C75" s="8"/>
      <c r="D75" s="8"/>
      <c r="E75" s="8"/>
      <c r="F75" s="8"/>
      <c r="G75" s="8"/>
      <c r="H75" s="8"/>
      <c r="I75" s="8"/>
      <c r="J75" s="8"/>
      <c r="K75" s="7"/>
    </row>
    <row r="76" spans="1:11" customFormat="1" ht="18" customHeight="1" x14ac:dyDescent="0.2">
      <c r="A76" s="7"/>
      <c r="B76" s="38" t="s">
        <v>184</v>
      </c>
      <c r="C76" s="7"/>
      <c r="D76" s="7"/>
      <c r="E76" s="7"/>
      <c r="F76" s="7"/>
      <c r="G76" s="7"/>
      <c r="H76" s="7"/>
      <c r="I76" s="7"/>
      <c r="J76" s="7"/>
      <c r="K76" s="7"/>
    </row>
    <row r="77" spans="1:11" x14ac:dyDescent="0.2">
      <c r="B77" s="41" t="s">
        <v>482</v>
      </c>
    </row>
    <row r="79" spans="1:11" x14ac:dyDescent="0.2">
      <c r="C79" s="39" t="s">
        <v>173</v>
      </c>
      <c r="D79" s="39" t="s">
        <v>174</v>
      </c>
      <c r="E79" s="39" t="s">
        <v>112</v>
      </c>
      <c r="F79"/>
      <c r="G79"/>
      <c r="H79" s="71" t="s">
        <v>185</v>
      </c>
      <c r="I79"/>
    </row>
    <row r="80" spans="1:11" x14ac:dyDescent="0.2">
      <c r="B80" s="72" t="s">
        <v>186</v>
      </c>
      <c r="C80" s="42">
        <v>0</v>
      </c>
      <c r="D80" s="42">
        <v>3</v>
      </c>
      <c r="E80" s="42">
        <v>4</v>
      </c>
      <c r="F80"/>
      <c r="G80"/>
      <c r="H80" s="40" t="s">
        <v>123</v>
      </c>
      <c r="I80" s="40" t="s">
        <v>124</v>
      </c>
    </row>
    <row r="81" spans="1:11" x14ac:dyDescent="0.2">
      <c r="B81" s="72" t="s">
        <v>187</v>
      </c>
      <c r="C81" s="42">
        <v>0</v>
      </c>
      <c r="D81" s="42">
        <v>2</v>
      </c>
      <c r="E81" s="42">
        <v>3</v>
      </c>
      <c r="F81"/>
      <c r="G81"/>
      <c r="H81" s="45" cm="1">
        <f t="array" ref="H81:I92">L.MESHGRID(L.LINSPACE(C80,D80,E80),L.LINSPACE(C81,D81,E81))</f>
        <v>0</v>
      </c>
      <c r="I81" s="45">
        <v>0</v>
      </c>
    </row>
    <row r="82" spans="1:11" x14ac:dyDescent="0.2">
      <c r="F82" s="45"/>
      <c r="G82"/>
      <c r="H82" s="45">
        <v>1</v>
      </c>
      <c r="I82" s="45">
        <v>0</v>
      </c>
    </row>
    <row r="83" spans="1:11" x14ac:dyDescent="0.2">
      <c r="B83"/>
      <c r="C83" s="40" t="s">
        <v>188</v>
      </c>
      <c r="F83" s="45"/>
      <c r="G83"/>
      <c r="H83" s="45">
        <v>2</v>
      </c>
      <c r="I83" s="45">
        <v>0</v>
      </c>
    </row>
    <row r="84" spans="1:11" x14ac:dyDescent="0.2">
      <c r="B84"/>
      <c r="C84" s="45" cm="1">
        <f t="array" ref="C84:F86">L.MESHGRID(L.LINSPACE(C80,D80,E80),L.LINSPACE(C81,D81,E81),"X")</f>
        <v>0</v>
      </c>
      <c r="D84" s="45">
        <v>1</v>
      </c>
      <c r="E84" s="45">
        <v>2</v>
      </c>
      <c r="F84" s="45">
        <v>3</v>
      </c>
      <c r="G84"/>
      <c r="H84" s="45">
        <v>3</v>
      </c>
      <c r="I84" s="45">
        <v>0</v>
      </c>
    </row>
    <row r="85" spans="1:11" x14ac:dyDescent="0.2">
      <c r="B85"/>
      <c r="C85" s="45">
        <v>0</v>
      </c>
      <c r="D85" s="45">
        <v>1</v>
      </c>
      <c r="E85" s="45">
        <v>2</v>
      </c>
      <c r="F85" s="45">
        <v>3</v>
      </c>
      <c r="G85"/>
      <c r="H85" s="45">
        <v>0</v>
      </c>
      <c r="I85" s="45">
        <v>1</v>
      </c>
    </row>
    <row r="86" spans="1:11" x14ac:dyDescent="0.2">
      <c r="B86"/>
      <c r="C86" s="45">
        <v>0</v>
      </c>
      <c r="D86" s="45">
        <v>1</v>
      </c>
      <c r="E86" s="45">
        <v>2</v>
      </c>
      <c r="F86" s="45">
        <v>3</v>
      </c>
      <c r="G86"/>
      <c r="H86" s="45">
        <v>1</v>
      </c>
      <c r="I86" s="45">
        <v>1</v>
      </c>
    </row>
    <row r="87" spans="1:11" x14ac:dyDescent="0.2">
      <c r="B87"/>
      <c r="C87" s="45"/>
      <c r="D87" s="45"/>
      <c r="E87" s="45"/>
      <c r="F87" s="45"/>
      <c r="G87"/>
      <c r="H87" s="45">
        <v>2</v>
      </c>
      <c r="I87" s="45">
        <v>1</v>
      </c>
    </row>
    <row r="88" spans="1:11" x14ac:dyDescent="0.2">
      <c r="F88" s="45"/>
      <c r="G88"/>
      <c r="H88" s="45">
        <v>3</v>
      </c>
      <c r="I88" s="45">
        <v>1</v>
      </c>
    </row>
    <row r="89" spans="1:11" x14ac:dyDescent="0.2">
      <c r="B89"/>
      <c r="C89" s="40" t="s">
        <v>189</v>
      </c>
      <c r="F89" s="45"/>
      <c r="G89"/>
      <c r="H89" s="45">
        <v>0</v>
      </c>
      <c r="I89" s="45">
        <v>2</v>
      </c>
    </row>
    <row r="90" spans="1:11" x14ac:dyDescent="0.2">
      <c r="B90"/>
      <c r="C90" s="45" cm="1">
        <f t="array" ref="C90:F92">L.MESHGRID(L.LINSPACE(C80,D80,E80),L.LINSPACE(C81,D81,E81),"Y")</f>
        <v>0</v>
      </c>
      <c r="D90" s="45">
        <v>0</v>
      </c>
      <c r="E90" s="45">
        <v>0</v>
      </c>
      <c r="F90" s="45">
        <v>0</v>
      </c>
      <c r="G90"/>
      <c r="H90" s="45">
        <v>1</v>
      </c>
      <c r="I90" s="45">
        <v>2</v>
      </c>
    </row>
    <row r="91" spans="1:11" x14ac:dyDescent="0.2">
      <c r="B91"/>
      <c r="C91" s="45">
        <v>1</v>
      </c>
      <c r="D91" s="45">
        <v>1</v>
      </c>
      <c r="E91" s="45">
        <v>1</v>
      </c>
      <c r="F91" s="45">
        <v>1</v>
      </c>
      <c r="G91"/>
      <c r="H91" s="45">
        <v>2</v>
      </c>
      <c r="I91" s="45">
        <v>2</v>
      </c>
    </row>
    <row r="92" spans="1:11" x14ac:dyDescent="0.2">
      <c r="B92"/>
      <c r="C92" s="45">
        <v>2</v>
      </c>
      <c r="D92" s="45">
        <v>2</v>
      </c>
      <c r="E92" s="45">
        <v>2</v>
      </c>
      <c r="F92" s="45">
        <v>2</v>
      </c>
      <c r="G92"/>
      <c r="H92" s="45">
        <v>3</v>
      </c>
      <c r="I92" s="45">
        <v>2</v>
      </c>
    </row>
    <row r="95" spans="1:11" customFormat="1" ht="23.25" x14ac:dyDescent="0.2">
      <c r="A95" s="7" t="s">
        <v>6</v>
      </c>
      <c r="B95" s="12" t="s">
        <v>783</v>
      </c>
      <c r="C95" s="8"/>
      <c r="D95" s="8"/>
      <c r="E95" s="8"/>
      <c r="F95" s="8"/>
      <c r="G95" s="8"/>
      <c r="H95" s="8"/>
      <c r="I95" s="8"/>
      <c r="J95" s="8"/>
      <c r="K95" s="7"/>
    </row>
    <row r="96" spans="1:11" customFormat="1" ht="18" customHeight="1" x14ac:dyDescent="0.2">
      <c r="A96" s="7"/>
      <c r="B96" s="38" t="s">
        <v>190</v>
      </c>
      <c r="C96" s="7"/>
      <c r="D96" s="7"/>
      <c r="E96" s="7"/>
      <c r="F96" s="7"/>
      <c r="G96" s="7"/>
      <c r="H96" s="7"/>
      <c r="I96" s="7"/>
      <c r="J96" s="7"/>
      <c r="K96" s="7"/>
    </row>
    <row r="97" spans="2:9" x14ac:dyDescent="0.2">
      <c r="B97" s="41" t="s">
        <v>481</v>
      </c>
    </row>
    <row r="99" spans="2:9" x14ac:dyDescent="0.2">
      <c r="C99" s="39" t="s">
        <v>191</v>
      </c>
      <c r="D99" s="39" t="s">
        <v>192</v>
      </c>
      <c r="E99" s="45"/>
      <c r="F99" s="39" t="s">
        <v>193</v>
      </c>
      <c r="G99" s="42">
        <v>70</v>
      </c>
      <c r="H99" s="45"/>
      <c r="I99" s="40" t="s">
        <v>194</v>
      </c>
    </row>
    <row r="100" spans="2:9" x14ac:dyDescent="0.2">
      <c r="C100" s="42" t="s">
        <v>196</v>
      </c>
      <c r="D100" s="42">
        <v>74</v>
      </c>
      <c r="F100" s="39" t="s">
        <v>195</v>
      </c>
      <c r="G100" s="42">
        <v>95</v>
      </c>
      <c r="I100" s="73" cm="1">
        <f t="array" ref="I100:I104">L.RESCALE(D100:D104,G99,G100)</f>
        <v>86.860465116279073</v>
      </c>
    </row>
    <row r="101" spans="2:9" x14ac:dyDescent="0.2">
      <c r="C101" s="42" t="s">
        <v>197</v>
      </c>
      <c r="D101" s="42">
        <v>88</v>
      </c>
      <c r="I101" s="73">
        <v>95</v>
      </c>
    </row>
    <row r="102" spans="2:9" x14ac:dyDescent="0.2">
      <c r="C102" s="42" t="s">
        <v>198</v>
      </c>
      <c r="D102" s="42">
        <v>67</v>
      </c>
      <c r="I102" s="73">
        <v>82.79069767441861</v>
      </c>
    </row>
    <row r="103" spans="2:9" x14ac:dyDescent="0.2">
      <c r="C103" s="42" t="s">
        <v>199</v>
      </c>
      <c r="D103" s="42">
        <v>45</v>
      </c>
      <c r="I103" s="73">
        <v>70</v>
      </c>
    </row>
    <row r="104" spans="2:9" x14ac:dyDescent="0.2">
      <c r="C104" s="42" t="s">
        <v>200</v>
      </c>
      <c r="D104" s="42">
        <v>81</v>
      </c>
      <c r="I104" s="73">
        <v>90.930232558139537</v>
      </c>
    </row>
    <row r="107" spans="2:9" x14ac:dyDescent="0.2">
      <c r="C107" s="39" t="s">
        <v>123</v>
      </c>
      <c r="E107" s="39" t="s">
        <v>193</v>
      </c>
      <c r="F107" s="42">
        <v>1</v>
      </c>
      <c r="H107" s="40" t="s">
        <v>194</v>
      </c>
    </row>
    <row r="108" spans="2:9" x14ac:dyDescent="0.2">
      <c r="C108" s="42">
        <v>1</v>
      </c>
      <c r="E108" s="39" t="s">
        <v>195</v>
      </c>
      <c r="F108" s="42">
        <v>7</v>
      </c>
      <c r="H108" s="45" cm="1">
        <f t="array" ref="H108:H112">L.RESCALE(C108:C112,F107,F108)</f>
        <v>1</v>
      </c>
    </row>
    <row r="109" spans="2:9" x14ac:dyDescent="0.2">
      <c r="C109" s="42">
        <v>2</v>
      </c>
      <c r="H109" s="45">
        <v>2.5</v>
      </c>
    </row>
    <row r="110" spans="2:9" x14ac:dyDescent="0.2">
      <c r="C110" s="42">
        <v>3</v>
      </c>
      <c r="H110" s="45">
        <v>4</v>
      </c>
    </row>
    <row r="111" spans="2:9" x14ac:dyDescent="0.2">
      <c r="C111" s="42">
        <v>4</v>
      </c>
      <c r="H111" s="45">
        <v>5.5</v>
      </c>
    </row>
    <row r="112" spans="2:9" x14ac:dyDescent="0.2">
      <c r="C112" s="42">
        <v>5</v>
      </c>
      <c r="H112" s="45">
        <v>7</v>
      </c>
    </row>
    <row r="115" spans="1:11" x14ac:dyDescent="0.2">
      <c r="C115" s="39" t="s">
        <v>94</v>
      </c>
      <c r="D115" s="39"/>
      <c r="E115" s="39"/>
      <c r="G115" s="40" t="s">
        <v>194</v>
      </c>
    </row>
    <row r="116" spans="1:11" x14ac:dyDescent="0.2">
      <c r="C116" s="42">
        <v>2</v>
      </c>
      <c r="D116" s="42">
        <v>0</v>
      </c>
      <c r="E116" s="42">
        <v>1</v>
      </c>
      <c r="G116" s="45" cm="1">
        <f t="array" ref="G116:I118">L.RESCALE(C116:E118,0,1)</f>
        <v>0.83333333333333337</v>
      </c>
      <c r="H116" s="7">
        <v>0.5</v>
      </c>
      <c r="I116" s="7">
        <v>0.66666666666666663</v>
      </c>
    </row>
    <row r="117" spans="1:11" x14ac:dyDescent="0.2">
      <c r="C117" s="42">
        <v>-1</v>
      </c>
      <c r="D117" s="42">
        <v>1</v>
      </c>
      <c r="E117" s="42">
        <v>0</v>
      </c>
      <c r="G117" s="7">
        <v>0.33333333333333331</v>
      </c>
      <c r="H117" s="7">
        <v>0.66666666666666663</v>
      </c>
      <c r="I117" s="7">
        <v>0.5</v>
      </c>
    </row>
    <row r="118" spans="1:11" x14ac:dyDescent="0.2">
      <c r="C118" s="42">
        <v>-3</v>
      </c>
      <c r="D118" s="42">
        <v>3</v>
      </c>
      <c r="E118" s="42">
        <v>0</v>
      </c>
      <c r="G118" s="7">
        <v>0</v>
      </c>
      <c r="H118" s="7">
        <v>1</v>
      </c>
      <c r="I118" s="7">
        <v>0.5</v>
      </c>
    </row>
    <row r="121" spans="1:11" customFormat="1" ht="23.25" x14ac:dyDescent="0.2">
      <c r="A121" s="7" t="s">
        <v>6</v>
      </c>
      <c r="B121" s="12" t="s">
        <v>782</v>
      </c>
      <c r="C121" s="8"/>
      <c r="D121" s="8"/>
      <c r="E121" s="8"/>
      <c r="F121" s="8"/>
      <c r="G121" s="8"/>
      <c r="H121" s="8"/>
      <c r="I121" s="8"/>
      <c r="J121" s="8"/>
      <c r="K121" s="7"/>
    </row>
    <row r="122" spans="1:11" customFormat="1" ht="18" customHeight="1" x14ac:dyDescent="0.2">
      <c r="A122" s="7"/>
      <c r="B122" s="38" t="s">
        <v>466</v>
      </c>
      <c r="C122" s="7"/>
      <c r="D122" s="7"/>
      <c r="E122" s="7"/>
      <c r="F122" s="7"/>
      <c r="G122" s="7"/>
      <c r="H122" s="7"/>
      <c r="I122" s="7"/>
      <c r="J122" s="7"/>
      <c r="K122" s="7"/>
    </row>
    <row r="123" spans="1:11" x14ac:dyDescent="0.2">
      <c r="B123" s="41" t="s">
        <v>480</v>
      </c>
    </row>
    <row r="125" spans="1:11" ht="18.75" x14ac:dyDescent="0.2">
      <c r="C125" s="7" t="s">
        <v>467</v>
      </c>
    </row>
    <row r="126" spans="1:11" x14ac:dyDescent="0.2">
      <c r="D126" s="7" t="s">
        <v>468</v>
      </c>
      <c r="F126" s="123" cm="1">
        <f t="array" ref="F126">goldenRatio</f>
        <v>1.6180339887498949</v>
      </c>
    </row>
    <row r="127" spans="1:11" x14ac:dyDescent="0.2">
      <c r="D127" s="7" t="s">
        <v>469</v>
      </c>
      <c r="F127" s="123" cm="1">
        <f t="array" ref="F127">goldenRatioC</f>
        <v>-0.6180339887498949</v>
      </c>
    </row>
    <row r="129" spans="1:13" x14ac:dyDescent="0.2">
      <c r="C129" s="39" t="s">
        <v>112</v>
      </c>
      <c r="D129" s="39" t="s">
        <v>470</v>
      </c>
    </row>
    <row r="130" spans="1:13" x14ac:dyDescent="0.2">
      <c r="C130" s="42">
        <v>8</v>
      </c>
      <c r="D130" s="42" t="b">
        <v>1</v>
      </c>
    </row>
    <row r="132" spans="1:13" x14ac:dyDescent="0.2">
      <c r="C132" s="40" t="s">
        <v>471</v>
      </c>
      <c r="D132" s="45" cm="1">
        <f t="array" ref="D132:K132">TRANSPOSE( L.FIBONACCI(C130,D130) )</f>
        <v>0</v>
      </c>
      <c r="E132" s="45">
        <v>1</v>
      </c>
      <c r="F132" s="45">
        <v>1</v>
      </c>
      <c r="G132" s="45">
        <v>2</v>
      </c>
      <c r="H132" s="45">
        <v>3</v>
      </c>
      <c r="I132" s="45">
        <v>5</v>
      </c>
      <c r="J132" s="45">
        <v>8</v>
      </c>
      <c r="K132" s="45">
        <v>13</v>
      </c>
      <c r="L132" s="45"/>
      <c r="M132" s="45"/>
    </row>
    <row r="134" spans="1:13" ht="18.75" x14ac:dyDescent="0.2">
      <c r="C134" s="7" t="s">
        <v>472</v>
      </c>
    </row>
    <row r="136" spans="1:13" customFormat="1" ht="23.25" x14ac:dyDescent="0.2">
      <c r="A136" s="7" t="s">
        <v>6</v>
      </c>
      <c r="B136" s="12" t="s">
        <v>878</v>
      </c>
      <c r="C136" s="8"/>
      <c r="D136" s="8"/>
      <c r="E136" s="8"/>
      <c r="F136" s="8"/>
      <c r="G136" s="8"/>
      <c r="H136" s="8"/>
      <c r="I136" s="8"/>
      <c r="J136" s="8"/>
      <c r="K136" s="7"/>
    </row>
    <row r="137" spans="1:13" customFormat="1" ht="18" customHeight="1" x14ac:dyDescent="0.2">
      <c r="A137" s="7"/>
      <c r="B137" s="38" t="s">
        <v>879</v>
      </c>
      <c r="C137" s="7"/>
      <c r="D137" s="7"/>
      <c r="E137" s="7"/>
      <c r="F137" s="7"/>
      <c r="G137" s="7"/>
      <c r="H137" s="7"/>
      <c r="I137" s="7"/>
      <c r="J137" s="7"/>
      <c r="K137" s="7"/>
    </row>
    <row r="138" spans="1:13" x14ac:dyDescent="0.2">
      <c r="B138" s="41" t="s">
        <v>880</v>
      </c>
    </row>
    <row r="139" spans="1:13" x14ac:dyDescent="0.2">
      <c r="J139" s="207"/>
    </row>
    <row r="140" spans="1:13" x14ac:dyDescent="0.2">
      <c r="C140" s="39" t="s">
        <v>112</v>
      </c>
      <c r="E140" s="40" t="s">
        <v>881</v>
      </c>
    </row>
    <row r="141" spans="1:13" x14ac:dyDescent="0.2">
      <c r="C141" s="42">
        <v>29</v>
      </c>
      <c r="E141" s="7" t="b" cm="1">
        <f t="array" ref="E141:E151">L.ISPRIME(C141:C151)</f>
        <v>1</v>
      </c>
    </row>
    <row r="142" spans="1:13" x14ac:dyDescent="0.2">
      <c r="C142" s="42">
        <v>-1</v>
      </c>
      <c r="E142" s="7" t="b">
        <v>0</v>
      </c>
    </row>
    <row r="143" spans="1:13" x14ac:dyDescent="0.2">
      <c r="C143" s="42" t="s">
        <v>882</v>
      </c>
      <c r="E143" s="7" t="e" vm="2">
        <v>#VALUE!</v>
      </c>
    </row>
    <row r="144" spans="1:13" x14ac:dyDescent="0.2">
      <c r="C144" s="42">
        <v>8</v>
      </c>
      <c r="E144" s="7" t="b">
        <v>0</v>
      </c>
    </row>
    <row r="145" spans="1:14" x14ac:dyDescent="0.2">
      <c r="C145" s="42">
        <v>997</v>
      </c>
      <c r="E145" s="7" t="b">
        <v>1</v>
      </c>
    </row>
    <row r="146" spans="1:14" x14ac:dyDescent="0.2">
      <c r="C146" s="42">
        <v>1011</v>
      </c>
      <c r="E146" s="7" t="b">
        <v>0</v>
      </c>
    </row>
    <row r="147" spans="1:14" x14ac:dyDescent="0.2">
      <c r="C147" s="42">
        <v>1009</v>
      </c>
      <c r="E147" s="7" t="b">
        <v>1</v>
      </c>
    </row>
    <row r="148" spans="1:14" x14ac:dyDescent="0.2">
      <c r="C148" s="208">
        <v>999999999989</v>
      </c>
      <c r="E148" s="7" t="b">
        <v>1</v>
      </c>
    </row>
    <row r="149" spans="1:14" x14ac:dyDescent="0.2">
      <c r="B149" s="16"/>
      <c r="C149" s="208">
        <f>1024^4</f>
        <v>1099511627776</v>
      </c>
      <c r="E149" s="7" t="b">
        <v>0</v>
      </c>
    </row>
    <row r="150" spans="1:14" x14ac:dyDescent="0.2">
      <c r="C150" s="208">
        <v>14638944639703</v>
      </c>
      <c r="D150" s="7" t="s">
        <v>918</v>
      </c>
      <c r="E150" s="7" t="e">
        <v>#NUM!</v>
      </c>
    </row>
    <row r="151" spans="1:14" x14ac:dyDescent="0.2">
      <c r="C151" s="208">
        <v>1121614951687</v>
      </c>
      <c r="E151" s="7" t="b">
        <v>1</v>
      </c>
    </row>
    <row r="154" spans="1:14" customFormat="1" ht="23.25" x14ac:dyDescent="0.2">
      <c r="A154" s="7" t="s">
        <v>6</v>
      </c>
      <c r="B154" s="12" t="s">
        <v>883</v>
      </c>
      <c r="C154" s="8"/>
      <c r="D154" s="8"/>
      <c r="E154" s="8"/>
      <c r="F154" s="8"/>
      <c r="G154" s="8"/>
      <c r="H154" s="8"/>
      <c r="I154" s="8"/>
      <c r="J154" s="8"/>
      <c r="K154" s="7"/>
    </row>
    <row r="155" spans="1:14" customFormat="1" ht="18" customHeight="1" x14ac:dyDescent="0.2">
      <c r="A155" s="7"/>
      <c r="B155" s="38" t="s">
        <v>879</v>
      </c>
      <c r="C155" s="7"/>
      <c r="D155" s="7"/>
      <c r="E155" s="7"/>
      <c r="F155" s="7"/>
      <c r="G155" s="7"/>
      <c r="H155" s="7"/>
      <c r="I155" s="7"/>
      <c r="J155" s="7"/>
      <c r="K155" s="7"/>
    </row>
    <row r="156" spans="1:14" x14ac:dyDescent="0.2">
      <c r="B156" s="41" t="s">
        <v>884</v>
      </c>
    </row>
    <row r="158" spans="1:14" x14ac:dyDescent="0.2">
      <c r="C158" s="16" t="s">
        <v>885</v>
      </c>
      <c r="D158" s="7" cm="1">
        <f t="array" ref="D158:M158">TRANSPOSE(L.Primes(10))</f>
        <v>2</v>
      </c>
      <c r="E158" s="7">
        <v>3</v>
      </c>
      <c r="F158" s="7">
        <v>5</v>
      </c>
      <c r="G158" s="7">
        <v>7</v>
      </c>
      <c r="H158" s="7">
        <v>11</v>
      </c>
      <c r="I158" s="7">
        <v>13</v>
      </c>
      <c r="J158" s="7">
        <v>17</v>
      </c>
      <c r="K158" s="7">
        <v>19</v>
      </c>
      <c r="L158" s="7">
        <v>23</v>
      </c>
      <c r="M158" s="7">
        <v>29</v>
      </c>
    </row>
    <row r="159" spans="1:14" x14ac:dyDescent="0.2">
      <c r="C159" s="16" t="s">
        <v>886</v>
      </c>
      <c r="D159" s="7" cm="1">
        <f t="array" ref="D159:N159">TRANSPOSE(L.Primes(,10,50))</f>
        <v>11</v>
      </c>
      <c r="E159" s="7">
        <v>13</v>
      </c>
      <c r="F159" s="7">
        <v>17</v>
      </c>
      <c r="G159" s="7">
        <v>19</v>
      </c>
      <c r="H159" s="7">
        <v>23</v>
      </c>
      <c r="I159" s="7">
        <v>29</v>
      </c>
      <c r="J159" s="7">
        <v>31</v>
      </c>
      <c r="K159" s="7">
        <v>37</v>
      </c>
      <c r="L159" s="7">
        <v>41</v>
      </c>
      <c r="M159" s="7">
        <v>43</v>
      </c>
      <c r="N159" s="7">
        <v>47</v>
      </c>
    </row>
    <row r="160" spans="1:14" x14ac:dyDescent="0.2">
      <c r="C160" s="16" t="s">
        <v>887</v>
      </c>
      <c r="D160" s="7" cm="1">
        <f t="array" ref="D160:H160">TRANSPOSE(L.Primes(-5,,100))</f>
        <v>97</v>
      </c>
      <c r="E160" s="7">
        <v>89</v>
      </c>
      <c r="F160" s="7">
        <v>83</v>
      </c>
      <c r="G160" s="7">
        <v>79</v>
      </c>
      <c r="H160" s="7">
        <v>73</v>
      </c>
    </row>
    <row r="161" spans="1:11" x14ac:dyDescent="0.2">
      <c r="C161" s="16" t="s">
        <v>888</v>
      </c>
      <c r="D161" s="7" cm="1">
        <f t="array" ref="D161:H161">TRANSPOSE(L.Primes(5,100))</f>
        <v>101</v>
      </c>
      <c r="E161" s="7">
        <v>103</v>
      </c>
      <c r="F161" s="7">
        <v>107</v>
      </c>
      <c r="G161" s="7">
        <v>109</v>
      </c>
      <c r="H161" s="7">
        <v>113</v>
      </c>
    </row>
    <row r="164" spans="1:11" customFormat="1" ht="18" customHeight="1" x14ac:dyDescent="0.2">
      <c r="A164" s="28" t="s">
        <v>6</v>
      </c>
      <c r="B164" s="13"/>
      <c r="C164" s="14"/>
      <c r="D164" s="6"/>
      <c r="E164" s="6"/>
      <c r="F164" s="6"/>
      <c r="G164" s="6"/>
      <c r="H164" s="6"/>
      <c r="I164" s="6"/>
      <c r="J164" s="6"/>
      <c r="K164" s="7"/>
    </row>
  </sheetData>
  <mergeCells count="2">
    <mergeCell ref="I1:J1"/>
    <mergeCell ref="B5:J7"/>
  </mergeCells>
  <phoneticPr fontId="12" type="noConversion"/>
  <hyperlinks>
    <hyperlink ref="B2" r:id="rId1" xr:uid="{68A56976-4185-47B8-B18F-8304B11623F6}"/>
    <hyperlink ref="B11" r:id="rId2" xr:uid="{F372C715-BB3F-4AE5-99C2-A2958DC9BDD4}"/>
    <hyperlink ref="B29" r:id="rId3" xr:uid="{A8DD726C-D1C9-4271-9C0D-199CF6D57900}"/>
    <hyperlink ref="B57" r:id="rId4" xr:uid="{2DF782AF-A0A1-45B0-BFAD-EFC446A8C176}"/>
    <hyperlink ref="B76" r:id="rId5" xr:uid="{73D7B908-D39E-435E-98B5-5213B233FE3B}"/>
    <hyperlink ref="B96" r:id="rId6" xr:uid="{25F09FC8-81E8-444A-BB0B-6D46FDE8A44B}"/>
    <hyperlink ref="B122" r:id="rId7" xr:uid="{696B859A-6DDA-46E1-8487-464AC785EC8D}"/>
    <hyperlink ref="B137" r:id="rId8" xr:uid="{36C5A626-92AE-4BE4-821F-77DA224BE8D0}"/>
    <hyperlink ref="B155" r:id="rId9" xr:uid="{3976746B-2EB6-4F4B-83C9-25DF98CD7A90}"/>
  </hyperlinks>
  <pageMargins left="0.7" right="0.7" top="0.75" bottom="0.75" header="0.3" footer="0.3"/>
  <pageSetup orientation="portrait" horizontalDpi="203" verticalDpi="203"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DC12-6EEB-4C73-ACD3-2AA9D8582665}">
  <dimension ref="A1:O378"/>
  <sheetViews>
    <sheetView showGridLines="0" zoomScaleNormal="100" workbookViewId="0"/>
  </sheetViews>
  <sheetFormatPr defaultRowHeight="15" x14ac:dyDescent="0.2"/>
  <cols>
    <col min="1" max="1" width="4.5" style="48" customWidth="1"/>
    <col min="2" max="3" width="11.125" style="7" customWidth="1"/>
    <col min="4" max="7" width="10.25" style="7" customWidth="1"/>
    <col min="8" max="11" width="11.125" style="7" customWidth="1"/>
    <col min="12" max="16384" width="9" style="7"/>
  </cols>
  <sheetData>
    <row r="1" spans="1:11" ht="36.950000000000003" customHeight="1" x14ac:dyDescent="0.2">
      <c r="A1" s="49"/>
      <c r="B1" s="2" t="s">
        <v>121</v>
      </c>
      <c r="C1" s="2"/>
      <c r="D1" s="2"/>
      <c r="E1" s="2"/>
      <c r="F1" s="2"/>
      <c r="G1" s="2"/>
      <c r="H1" s="2"/>
      <c r="I1" s="209" t="e" vm="1">
        <v>#VALUE!</v>
      </c>
      <c r="J1" s="209"/>
    </row>
    <row r="2" spans="1:11" ht="18" customHeight="1" x14ac:dyDescent="0.2">
      <c r="B2" s="46" t="s">
        <v>55</v>
      </c>
      <c r="J2" s="47" t="s">
        <v>909</v>
      </c>
    </row>
    <row r="3" spans="1:11" ht="18" customHeight="1" x14ac:dyDescent="0.2"/>
    <row r="4" spans="1:11" ht="18" customHeight="1" x14ac:dyDescent="0.2">
      <c r="B4" s="21" t="s">
        <v>85</v>
      </c>
    </row>
    <row r="5" spans="1:11" ht="18" customHeight="1" x14ac:dyDescent="0.2">
      <c r="B5" s="212" t="s">
        <v>86</v>
      </c>
      <c r="C5" s="212"/>
      <c r="D5" s="212"/>
      <c r="E5" s="212"/>
      <c r="F5" s="212"/>
      <c r="G5" s="212"/>
      <c r="H5" s="212"/>
      <c r="I5" s="212"/>
      <c r="J5" s="212"/>
    </row>
    <row r="6" spans="1:11" ht="18" customHeight="1" x14ac:dyDescent="0.2">
      <c r="B6" s="212"/>
      <c r="C6" s="212"/>
      <c r="D6" s="212"/>
      <c r="E6" s="212"/>
      <c r="F6" s="212"/>
      <c r="G6" s="212"/>
      <c r="H6" s="212"/>
      <c r="I6" s="212"/>
      <c r="J6" s="212"/>
    </row>
    <row r="7" spans="1:11" ht="18" customHeight="1" x14ac:dyDescent="0.2">
      <c r="B7" s="212"/>
      <c r="C7" s="212"/>
      <c r="D7" s="212"/>
      <c r="E7" s="212"/>
      <c r="F7" s="212"/>
      <c r="G7" s="212"/>
      <c r="H7" s="212"/>
      <c r="I7" s="212"/>
      <c r="J7" s="212"/>
    </row>
    <row r="9" spans="1:11" customFormat="1" ht="23.25" x14ac:dyDescent="0.2">
      <c r="A9" s="7" t="s">
        <v>6</v>
      </c>
      <c r="B9" s="12" t="s">
        <v>83</v>
      </c>
      <c r="C9" s="8"/>
      <c r="D9" s="8"/>
      <c r="E9" s="8"/>
      <c r="F9" s="8"/>
      <c r="G9" s="8"/>
      <c r="H9" s="8"/>
      <c r="I9" s="8"/>
      <c r="J9" s="8"/>
      <c r="K9" s="7"/>
    </row>
    <row r="10" spans="1:11" customFormat="1" ht="18" customHeight="1" x14ac:dyDescent="0.2">
      <c r="A10" s="7"/>
      <c r="B10" s="7"/>
      <c r="C10" s="7"/>
      <c r="D10" s="7"/>
      <c r="E10" s="7"/>
      <c r="F10" s="7"/>
      <c r="G10" s="7"/>
      <c r="H10" s="7"/>
      <c r="I10" s="7"/>
      <c r="J10" s="7"/>
      <c r="K10" s="7"/>
    </row>
    <row r="11" spans="1:11" customFormat="1" ht="18" customHeight="1" x14ac:dyDescent="0.2">
      <c r="A11" s="7"/>
      <c r="C11" s="7" t="s">
        <v>82</v>
      </c>
      <c r="D11" s="7"/>
      <c r="E11" s="7"/>
      <c r="F11" s="7"/>
      <c r="G11" s="7"/>
      <c r="H11" s="7"/>
      <c r="I11" s="7"/>
      <c r="J11" s="7"/>
      <c r="K11" s="7"/>
    </row>
    <row r="12" spans="1:11" customFormat="1" ht="18" customHeight="1" x14ac:dyDescent="0.2">
      <c r="A12" s="7"/>
      <c r="C12" s="7" t="s">
        <v>25</v>
      </c>
      <c r="D12" s="7"/>
      <c r="E12" s="7"/>
      <c r="F12" s="7"/>
      <c r="G12" s="7"/>
      <c r="H12" s="7"/>
      <c r="I12" s="7"/>
      <c r="J12" s="7"/>
      <c r="K12" s="7"/>
    </row>
    <row r="13" spans="1:11" customFormat="1" ht="18" customHeight="1" x14ac:dyDescent="0.2">
      <c r="A13" s="7"/>
      <c r="C13" s="7" t="s">
        <v>26</v>
      </c>
      <c r="D13" s="7"/>
      <c r="E13" s="7"/>
      <c r="F13" s="7"/>
      <c r="G13" s="7"/>
      <c r="H13" s="7"/>
      <c r="I13" s="7"/>
      <c r="J13" s="7"/>
      <c r="K13" s="7"/>
    </row>
    <row r="14" spans="1:11" customFormat="1" ht="18" customHeight="1" x14ac:dyDescent="0.2">
      <c r="A14" s="7"/>
      <c r="C14" s="7" t="s">
        <v>27</v>
      </c>
      <c r="D14" s="7"/>
      <c r="E14" s="7"/>
      <c r="F14" s="7"/>
      <c r="G14" s="7"/>
      <c r="H14" s="7"/>
      <c r="I14" s="7"/>
      <c r="J14" s="7"/>
      <c r="K14" s="7"/>
    </row>
    <row r="15" spans="1:11" customFormat="1" ht="18" customHeight="1" x14ac:dyDescent="0.2">
      <c r="A15" s="7"/>
      <c r="C15" s="7" t="s">
        <v>23</v>
      </c>
      <c r="D15" s="7"/>
      <c r="E15" s="7"/>
      <c r="F15" s="7"/>
      <c r="G15" s="7"/>
      <c r="H15" s="7"/>
      <c r="I15" s="7"/>
      <c r="J15" s="7"/>
      <c r="K15" s="7"/>
    </row>
    <row r="16" spans="1:11" customFormat="1" ht="18" customHeight="1" x14ac:dyDescent="0.2">
      <c r="A16" s="7"/>
      <c r="C16" s="7" t="s">
        <v>24</v>
      </c>
      <c r="D16" s="7"/>
      <c r="E16" s="7"/>
      <c r="F16" s="7"/>
      <c r="G16" s="7"/>
      <c r="H16" s="7"/>
      <c r="I16" s="7"/>
      <c r="J16" s="7"/>
      <c r="K16" s="7"/>
    </row>
    <row r="17" spans="1:11" customFormat="1" ht="18" customHeight="1" x14ac:dyDescent="0.2">
      <c r="A17" s="7"/>
      <c r="C17" s="7" t="s">
        <v>32</v>
      </c>
      <c r="D17" s="7"/>
      <c r="E17" s="7"/>
      <c r="F17" s="7"/>
      <c r="G17" s="7"/>
      <c r="H17" s="7"/>
      <c r="I17" s="7"/>
      <c r="J17" s="7"/>
      <c r="K17" s="7"/>
    </row>
    <row r="18" spans="1:11" customFormat="1" ht="18" customHeight="1" x14ac:dyDescent="0.2">
      <c r="A18" s="7"/>
      <c r="C18" s="7" t="s">
        <v>33</v>
      </c>
      <c r="D18" s="7"/>
      <c r="E18" s="7"/>
      <c r="F18" s="7"/>
      <c r="G18" s="7"/>
      <c r="H18" s="7"/>
      <c r="I18" s="7"/>
      <c r="J18" s="7"/>
      <c r="K18" s="7"/>
    </row>
    <row r="19" spans="1:11" customFormat="1" ht="18" customHeight="1" x14ac:dyDescent="0.2">
      <c r="A19" s="7"/>
      <c r="C19" s="7" t="s">
        <v>40</v>
      </c>
      <c r="D19" s="7"/>
      <c r="E19" s="7"/>
      <c r="F19" s="7"/>
      <c r="G19" s="7"/>
      <c r="H19" s="7"/>
      <c r="I19" s="7"/>
      <c r="J19" s="7"/>
      <c r="K19" s="7"/>
    </row>
    <row r="20" spans="1:11" customFormat="1" ht="18" customHeight="1" x14ac:dyDescent="0.2">
      <c r="A20" s="7"/>
      <c r="C20" s="7" t="s">
        <v>41</v>
      </c>
      <c r="D20" s="7"/>
      <c r="E20" s="7"/>
      <c r="F20" s="7"/>
      <c r="G20" s="7"/>
      <c r="H20" s="7"/>
      <c r="I20" s="7"/>
      <c r="J20" s="7"/>
      <c r="K20" s="7"/>
    </row>
    <row r="21" spans="1:11" customFormat="1" ht="18" customHeight="1" x14ac:dyDescent="0.2">
      <c r="A21" s="7"/>
      <c r="C21" s="7" t="s">
        <v>42</v>
      </c>
      <c r="D21" s="7"/>
      <c r="E21" s="7"/>
      <c r="F21" s="7"/>
      <c r="G21" s="7"/>
      <c r="H21" s="7"/>
      <c r="I21" s="7"/>
      <c r="J21" s="7"/>
      <c r="K21" s="7"/>
    </row>
    <row r="22" spans="1:11" customFormat="1" ht="18" customHeight="1" x14ac:dyDescent="0.2">
      <c r="A22" s="7"/>
      <c r="C22" s="7" t="s">
        <v>43</v>
      </c>
      <c r="D22" s="7"/>
      <c r="E22" s="7"/>
      <c r="F22" s="7"/>
      <c r="G22" s="7"/>
      <c r="H22" s="7"/>
      <c r="I22" s="7"/>
      <c r="J22" s="7"/>
      <c r="K22" s="7"/>
    </row>
    <row r="23" spans="1:11" customFormat="1" ht="18" customHeight="1" x14ac:dyDescent="0.2">
      <c r="A23" s="7"/>
      <c r="C23" s="7" t="s">
        <v>28</v>
      </c>
      <c r="D23" s="7"/>
      <c r="E23" s="7"/>
      <c r="F23" s="7"/>
      <c r="G23" s="7"/>
      <c r="H23" s="7"/>
      <c r="I23" s="7"/>
      <c r="J23" s="7"/>
      <c r="K23" s="7"/>
    </row>
    <row r="24" spans="1:11" customFormat="1" ht="18" customHeight="1" x14ac:dyDescent="0.2">
      <c r="A24" s="7"/>
      <c r="C24" s="7" t="s">
        <v>843</v>
      </c>
      <c r="D24" s="7"/>
      <c r="E24" s="7"/>
      <c r="F24" s="7"/>
      <c r="G24" s="7"/>
      <c r="H24" s="7"/>
      <c r="I24" s="7"/>
      <c r="J24" s="7"/>
      <c r="K24" s="7"/>
    </row>
    <row r="25" spans="1:11" customFormat="1" ht="18" customHeight="1" x14ac:dyDescent="0.2">
      <c r="A25" s="7"/>
      <c r="C25" s="7" t="s">
        <v>844</v>
      </c>
      <c r="D25" s="7"/>
      <c r="E25" s="7"/>
      <c r="F25" s="7"/>
      <c r="G25" s="7"/>
      <c r="H25" s="7"/>
      <c r="I25" s="7"/>
      <c r="J25" s="7"/>
      <c r="K25" s="7"/>
    </row>
    <row r="28" spans="1:11" customFormat="1" ht="23.25" x14ac:dyDescent="0.2">
      <c r="A28" s="7" t="s">
        <v>6</v>
      </c>
      <c r="B28" s="12" t="s">
        <v>788</v>
      </c>
      <c r="C28" s="8"/>
      <c r="D28" s="8"/>
      <c r="E28" s="8"/>
      <c r="F28" s="8"/>
      <c r="G28" s="8"/>
      <c r="H28" s="8"/>
      <c r="I28" s="8"/>
      <c r="J28" s="8"/>
      <c r="K28" s="7"/>
    </row>
    <row r="29" spans="1:11" customFormat="1" ht="18" customHeight="1" x14ac:dyDescent="0.2">
      <c r="A29" s="7"/>
      <c r="B29" s="38" t="s">
        <v>144</v>
      </c>
      <c r="C29" s="7"/>
      <c r="D29" s="7"/>
      <c r="E29" s="7"/>
      <c r="F29" s="7"/>
      <c r="G29" s="7"/>
      <c r="H29" s="7"/>
      <c r="I29" s="7"/>
      <c r="J29" s="7"/>
      <c r="K29" s="7"/>
    </row>
    <row r="30" spans="1:11" x14ac:dyDescent="0.2">
      <c r="B30" s="41" t="s">
        <v>501</v>
      </c>
    </row>
    <row r="32" spans="1:11" x14ac:dyDescent="0.2">
      <c r="C32" s="39" t="s">
        <v>94</v>
      </c>
      <c r="D32" s="39"/>
      <c r="E32" s="39"/>
      <c r="G32" s="56" t="s">
        <v>145</v>
      </c>
      <c r="H32" s="40"/>
      <c r="I32" s="40"/>
      <c r="J32"/>
    </row>
    <row r="33" spans="3:10" x14ac:dyDescent="0.2">
      <c r="C33" s="42" t="str" cm="1">
        <f t="array" ref="C33:E35">{"A","B","C"}&amp;{1;2;3}</f>
        <v>A1</v>
      </c>
      <c r="D33" s="42" t="str">
        <v>B1</v>
      </c>
      <c r="E33" s="42" t="str">
        <v>C1</v>
      </c>
      <c r="G33" s="45" t="str" cm="1">
        <f t="array" ref="G33:I35">L.FLIPUD(_xlfn.ANCHORARRAY(C33))</f>
        <v>A3</v>
      </c>
      <c r="H33" s="44" t="str">
        <v>B3</v>
      </c>
      <c r="I33" s="45" t="str">
        <v>C3</v>
      </c>
      <c r="J33"/>
    </row>
    <row r="34" spans="3:10" x14ac:dyDescent="0.2">
      <c r="C34" s="42" t="str">
        <v>A2</v>
      </c>
      <c r="D34" s="42" t="str">
        <v>B2</v>
      </c>
      <c r="E34" s="42" t="str">
        <v>C2</v>
      </c>
      <c r="G34" s="45" t="str">
        <v>A2</v>
      </c>
      <c r="H34" s="44" t="str">
        <v>B2</v>
      </c>
      <c r="I34" s="45" t="str">
        <v>C2</v>
      </c>
      <c r="J34"/>
    </row>
    <row r="35" spans="3:10" x14ac:dyDescent="0.2">
      <c r="C35" s="42" t="str">
        <v>A3</v>
      </c>
      <c r="D35" s="42" t="str">
        <v>B3</v>
      </c>
      <c r="E35" s="42" t="str">
        <v>C3</v>
      </c>
      <c r="G35" s="45" t="str">
        <v>A1</v>
      </c>
      <c r="H35" s="44" t="str">
        <v>B1</v>
      </c>
      <c r="I35" s="45" t="str">
        <v>C1</v>
      </c>
      <c r="J35"/>
    </row>
    <row r="36" spans="3:10" x14ac:dyDescent="0.2">
      <c r="G36"/>
      <c r="H36"/>
      <c r="I36"/>
      <c r="J36"/>
    </row>
    <row r="37" spans="3:10" x14ac:dyDescent="0.2">
      <c r="G37" s="56" t="s">
        <v>146</v>
      </c>
      <c r="H37" s="40"/>
      <c r="I37" s="40"/>
      <c r="J37"/>
    </row>
    <row r="38" spans="3:10" x14ac:dyDescent="0.2">
      <c r="G38" s="45" t="str" cm="1">
        <f t="array" ref="G38:I40">L.FLIPLR(_xlfn.ANCHORARRAY(C33))</f>
        <v>C1</v>
      </c>
      <c r="H38" s="45" t="str">
        <v>B1</v>
      </c>
      <c r="I38" s="45" t="str">
        <v>A1</v>
      </c>
      <c r="J38"/>
    </row>
    <row r="39" spans="3:10" x14ac:dyDescent="0.2">
      <c r="G39" s="45" t="str">
        <v>C2</v>
      </c>
      <c r="H39" s="45" t="str">
        <v>B2</v>
      </c>
      <c r="I39" s="45" t="str">
        <v>A2</v>
      </c>
      <c r="J39"/>
    </row>
    <row r="40" spans="3:10" x14ac:dyDescent="0.2">
      <c r="G40" s="44" t="str">
        <v>C3</v>
      </c>
      <c r="H40" s="45" t="str">
        <v>B3</v>
      </c>
      <c r="I40" s="45" t="str">
        <v>A3</v>
      </c>
      <c r="J40"/>
    </row>
    <row r="42" spans="3:10" x14ac:dyDescent="0.2">
      <c r="C42" s="39" t="s">
        <v>94</v>
      </c>
      <c r="D42"/>
      <c r="E42" s="40" t="s">
        <v>148</v>
      </c>
      <c r="F42" s="40" t="s">
        <v>149</v>
      </c>
      <c r="G42" s="40" t="s">
        <v>150</v>
      </c>
    </row>
    <row r="43" spans="3:10" x14ac:dyDescent="0.2">
      <c r="C43" s="42" t="s">
        <v>89</v>
      </c>
      <c r="D43"/>
      <c r="E43" s="45" t="str" cm="1">
        <f t="array" ref="E43:E45">L.FLIPUD(C43:C45)</f>
        <v>C</v>
      </c>
      <c r="F43" s="45" t="str" cm="1">
        <f t="array" ref="F43:F45">L.FLIPLR(C43:C45)</f>
        <v>A</v>
      </c>
      <c r="G43" s="45" t="str" cm="1">
        <f t="array" ref="G43:G45">L.FLIP(C43:C45)</f>
        <v>C</v>
      </c>
    </row>
    <row r="44" spans="3:10" x14ac:dyDescent="0.2">
      <c r="C44" s="42" t="s">
        <v>90</v>
      </c>
      <c r="D44"/>
      <c r="E44" s="45" t="str">
        <v>B</v>
      </c>
      <c r="F44" s="45" t="str">
        <v>B</v>
      </c>
      <c r="G44" s="45" t="str">
        <v>B</v>
      </c>
    </row>
    <row r="45" spans="3:10" x14ac:dyDescent="0.2">
      <c r="C45" s="42" t="s">
        <v>91</v>
      </c>
      <c r="D45"/>
      <c r="E45" s="45" t="str">
        <v>A</v>
      </c>
      <c r="F45" s="45" t="str">
        <v>C</v>
      </c>
      <c r="G45" s="45" t="str">
        <v>A</v>
      </c>
    </row>
    <row r="47" spans="3:10" x14ac:dyDescent="0.2">
      <c r="C47" s="39" t="s">
        <v>94</v>
      </c>
      <c r="D47" s="42" t="s">
        <v>89</v>
      </c>
      <c r="E47" s="42" t="s">
        <v>90</v>
      </c>
      <c r="F47" s="42" t="s">
        <v>91</v>
      </c>
    </row>
    <row r="48" spans="3:10" x14ac:dyDescent="0.2">
      <c r="D48"/>
    </row>
    <row r="49" spans="1:11" x14ac:dyDescent="0.2">
      <c r="C49" s="40" t="s">
        <v>148</v>
      </c>
      <c r="D49" s="45" t="str" cm="1">
        <f t="array" ref="D49:F49">L.FLIPUD(D47:F47)</f>
        <v>A</v>
      </c>
      <c r="E49" s="45" t="str">
        <v>B</v>
      </c>
      <c r="F49" s="45" t="str">
        <v>C</v>
      </c>
    </row>
    <row r="50" spans="1:11" x14ac:dyDescent="0.2">
      <c r="C50" s="40" t="s">
        <v>149</v>
      </c>
      <c r="D50" s="45" t="str" cm="1">
        <f t="array" ref="D50:F50">L.FLIPLR(D47:F47)</f>
        <v>C</v>
      </c>
      <c r="E50" s="45" t="str">
        <v>B</v>
      </c>
      <c r="F50" s="45" t="str">
        <v>A</v>
      </c>
    </row>
    <row r="51" spans="1:11" x14ac:dyDescent="0.2">
      <c r="C51" s="40" t="s">
        <v>150</v>
      </c>
      <c r="D51" s="45" t="str" cm="1">
        <f t="array" ref="D51:F51">L.FLIP(D49:F49)</f>
        <v>C</v>
      </c>
      <c r="E51" s="45" t="str">
        <v>B</v>
      </c>
      <c r="F51" s="45" t="str">
        <v>A</v>
      </c>
    </row>
    <row r="54" spans="1:11" customFormat="1" ht="23.25" x14ac:dyDescent="0.2">
      <c r="A54" s="7" t="s">
        <v>6</v>
      </c>
      <c r="B54" s="12" t="s">
        <v>812</v>
      </c>
      <c r="C54" s="8"/>
      <c r="D54" s="8"/>
      <c r="E54" s="8"/>
      <c r="F54" s="8"/>
      <c r="G54" s="8"/>
      <c r="H54" s="8"/>
      <c r="I54" s="8"/>
      <c r="J54" s="8"/>
      <c r="K54" s="7"/>
    </row>
    <row r="55" spans="1:11" customFormat="1" ht="18" customHeight="1" x14ac:dyDescent="0.2">
      <c r="A55" s="7"/>
      <c r="B55" s="38" t="s">
        <v>152</v>
      </c>
      <c r="C55" s="7"/>
      <c r="D55" s="7"/>
      <c r="E55" s="7"/>
      <c r="F55" s="7"/>
      <c r="G55" s="7"/>
      <c r="H55" s="7"/>
      <c r="I55" s="7"/>
      <c r="J55" s="7"/>
      <c r="K55" s="7"/>
    </row>
    <row r="56" spans="1:11" x14ac:dyDescent="0.2">
      <c r="B56" s="41" t="s">
        <v>515</v>
      </c>
    </row>
    <row r="58" spans="1:11" x14ac:dyDescent="0.2">
      <c r="C58" s="39" t="s">
        <v>94</v>
      </c>
      <c r="D58" s="39"/>
      <c r="E58" s="39"/>
      <c r="G58" s="40" t="s">
        <v>153</v>
      </c>
    </row>
    <row r="59" spans="1:11" x14ac:dyDescent="0.2">
      <c r="C59" s="42" t="str" cm="1">
        <f t="array" ref="C59:E61">{"A","B","C"}&amp;{1;2;3}</f>
        <v>A1</v>
      </c>
      <c r="D59" s="42" t="str">
        <v>B1</v>
      </c>
      <c r="E59" s="42" t="str">
        <v>C1</v>
      </c>
      <c r="G59" s="45" t="str" cm="1">
        <f t="array" ref="G59:I61">TRANSPOSE(_xlfn.ANCHORARRAY(C59))</f>
        <v>A1</v>
      </c>
      <c r="H59" s="45" t="str">
        <v>A2</v>
      </c>
      <c r="I59" s="45" t="str">
        <v>A3</v>
      </c>
    </row>
    <row r="60" spans="1:11" x14ac:dyDescent="0.2">
      <c r="C60" s="42" t="str">
        <v>A2</v>
      </c>
      <c r="D60" s="42" t="str">
        <v>B2</v>
      </c>
      <c r="E60" s="42" t="str">
        <v>C2</v>
      </c>
      <c r="G60" s="45" t="str">
        <v>B1</v>
      </c>
      <c r="H60" s="45" t="str">
        <v>B2</v>
      </c>
      <c r="I60" s="45" t="str">
        <v>B3</v>
      </c>
    </row>
    <row r="61" spans="1:11" x14ac:dyDescent="0.2">
      <c r="C61" s="42" t="str">
        <v>A3</v>
      </c>
      <c r="D61" s="42" t="str">
        <v>B3</v>
      </c>
      <c r="E61" s="42" t="str">
        <v>C3</v>
      </c>
      <c r="G61" s="44" t="str">
        <v>C1</v>
      </c>
      <c r="H61" s="45" t="str">
        <v>C2</v>
      </c>
      <c r="I61" s="45" t="str">
        <v>C3</v>
      </c>
    </row>
    <row r="62" spans="1:11" x14ac:dyDescent="0.2">
      <c r="G62"/>
    </row>
    <row r="63" spans="1:11" x14ac:dyDescent="0.2">
      <c r="C63" s="40" t="s">
        <v>154</v>
      </c>
      <c r="D63"/>
      <c r="G63" s="40" t="s">
        <v>155</v>
      </c>
    </row>
    <row r="64" spans="1:11" x14ac:dyDescent="0.2">
      <c r="C64" s="45" t="str" cm="1">
        <f t="array" ref="C64:E66">L.ROT_90(_xlfn.ANCHORARRAY(C59))</f>
        <v>C1</v>
      </c>
      <c r="D64" s="44" t="str">
        <v>C2</v>
      </c>
      <c r="E64" s="45" t="str">
        <v>C3</v>
      </c>
      <c r="F64" s="45"/>
      <c r="G64" s="45" t="str" cm="1">
        <f t="array" ref="G64:I66">L.ROT_90(_xlfn.ANCHORARRAY(C64))</f>
        <v>C3</v>
      </c>
      <c r="H64" s="45" t="str">
        <v>B3</v>
      </c>
      <c r="I64" s="45" t="str">
        <v>A3</v>
      </c>
    </row>
    <row r="65" spans="1:11" x14ac:dyDescent="0.2">
      <c r="C65" s="45" t="str">
        <v>B1</v>
      </c>
      <c r="D65" s="44" t="str">
        <v>B2</v>
      </c>
      <c r="E65" s="45" t="str">
        <v>B3</v>
      </c>
      <c r="F65" s="45"/>
      <c r="G65" s="45" t="str">
        <v>C2</v>
      </c>
      <c r="H65" s="45" t="str">
        <v>B2</v>
      </c>
      <c r="I65" s="45" t="str">
        <v>A2</v>
      </c>
    </row>
    <row r="66" spans="1:11" x14ac:dyDescent="0.2">
      <c r="C66" s="45" t="str">
        <v>A1</v>
      </c>
      <c r="D66" s="44" t="str">
        <v>A2</v>
      </c>
      <c r="E66" s="45" t="str">
        <v>A3</v>
      </c>
      <c r="F66" s="45"/>
      <c r="G66" s="45" t="str">
        <v>C1</v>
      </c>
      <c r="H66" s="45" t="str">
        <v>B1</v>
      </c>
      <c r="I66" s="45" t="str">
        <v>A1</v>
      </c>
    </row>
    <row r="67" spans="1:11" x14ac:dyDescent="0.2">
      <c r="D67"/>
    </row>
    <row r="68" spans="1:11" x14ac:dyDescent="0.2">
      <c r="C68" s="40" t="s">
        <v>156</v>
      </c>
      <c r="G68" s="40" t="s">
        <v>157</v>
      </c>
    </row>
    <row r="69" spans="1:11" x14ac:dyDescent="0.2">
      <c r="C69" s="45" t="str" cm="1">
        <f t="array" ref="C69:E71">L.ROT_90(_xlfn.ANCHORARRAY(G64))</f>
        <v>A3</v>
      </c>
      <c r="D69" s="45" t="str">
        <v>A2</v>
      </c>
      <c r="E69" s="45" t="str">
        <v>A1</v>
      </c>
      <c r="G69" s="45" t="str" cm="1">
        <f t="array" ref="G69:I71">L.ROT_90(_xlfn.ANCHORARRAY(C69))</f>
        <v>A1</v>
      </c>
      <c r="H69" s="45" t="str">
        <v>B1</v>
      </c>
      <c r="I69" s="45" t="str">
        <v>C1</v>
      </c>
    </row>
    <row r="70" spans="1:11" x14ac:dyDescent="0.2">
      <c r="C70" s="45" t="str">
        <v>B3</v>
      </c>
      <c r="D70" s="45" t="str">
        <v>B2</v>
      </c>
      <c r="E70" s="45" t="str">
        <v>B1</v>
      </c>
      <c r="G70" s="45" t="str">
        <v>A2</v>
      </c>
      <c r="H70" s="45" t="str">
        <v>B2</v>
      </c>
      <c r="I70" s="45" t="str">
        <v>C2</v>
      </c>
    </row>
    <row r="71" spans="1:11" x14ac:dyDescent="0.2">
      <c r="C71" s="45" t="str">
        <v>C3</v>
      </c>
      <c r="D71" s="45" t="str">
        <v>C2</v>
      </c>
      <c r="E71" s="45" t="str">
        <v>C1</v>
      </c>
      <c r="G71" s="45" t="str">
        <v>A3</v>
      </c>
      <c r="H71" s="45" t="str">
        <v>B3</v>
      </c>
      <c r="I71" s="45" t="str">
        <v>C3</v>
      </c>
    </row>
    <row r="73" spans="1:11" x14ac:dyDescent="0.2">
      <c r="C73" s="39" t="s">
        <v>112</v>
      </c>
      <c r="D73" s="42">
        <v>1</v>
      </c>
      <c r="F73" s="40" t="s">
        <v>158</v>
      </c>
    </row>
    <row r="74" spans="1:11" x14ac:dyDescent="0.2">
      <c r="F74" s="45" t="str" cm="1">
        <f t="array" ref="F74:H76">L.ROT_90(_xlfn.ANCHORARRAY(C59),D73)</f>
        <v>C1</v>
      </c>
      <c r="G74" s="45" t="str">
        <v>C2</v>
      </c>
      <c r="H74" s="45" t="str">
        <v>C3</v>
      </c>
    </row>
    <row r="75" spans="1:11" x14ac:dyDescent="0.2">
      <c r="F75" s="45" t="str">
        <v>B1</v>
      </c>
      <c r="G75" s="45" t="str">
        <v>B2</v>
      </c>
      <c r="H75" s="45" t="str">
        <v>B3</v>
      </c>
    </row>
    <row r="76" spans="1:11" x14ac:dyDescent="0.2">
      <c r="F76" s="45" t="str">
        <v>A1</v>
      </c>
      <c r="G76" s="45" t="str">
        <v>A2</v>
      </c>
      <c r="H76" s="45" t="str">
        <v>A3</v>
      </c>
    </row>
    <row r="77" spans="1:11" x14ac:dyDescent="0.2">
      <c r="C77" s="45"/>
      <c r="D77" s="45"/>
      <c r="F77" s="45"/>
      <c r="H77" s="45"/>
      <c r="I77" s="45"/>
      <c r="J77" s="45"/>
      <c r="K77" s="45"/>
    </row>
    <row r="78" spans="1:11" customFormat="1" ht="23.25" x14ac:dyDescent="0.2">
      <c r="A78" s="7" t="s">
        <v>6</v>
      </c>
      <c r="B78" s="12" t="s">
        <v>890</v>
      </c>
      <c r="C78" s="8"/>
      <c r="D78" s="8"/>
      <c r="E78" s="8"/>
      <c r="F78" s="8"/>
      <c r="G78" s="8"/>
      <c r="H78" s="8"/>
      <c r="I78" s="8"/>
      <c r="J78" s="8"/>
      <c r="K78" s="7"/>
    </row>
    <row r="79" spans="1:11" customFormat="1" ht="18" customHeight="1" x14ac:dyDescent="0.2">
      <c r="A79" s="7"/>
      <c r="B79" s="38" t="s">
        <v>891</v>
      </c>
      <c r="C79" s="7"/>
      <c r="D79" s="7"/>
      <c r="E79" s="7"/>
      <c r="F79" s="7"/>
      <c r="G79" s="7"/>
      <c r="H79" s="7"/>
      <c r="I79" s="7"/>
      <c r="J79" s="7"/>
      <c r="K79" s="7"/>
    </row>
    <row r="80" spans="1:11" x14ac:dyDescent="0.2">
      <c r="B80" s="41" t="s">
        <v>908</v>
      </c>
    </row>
    <row r="82" spans="2:15" ht="15.75" thickBot="1" x14ac:dyDescent="0.3">
      <c r="B82"/>
      <c r="C82" s="176" t="str" cm="1">
        <f t="array" ref="C82:H82">TRANSPOSE(L.SE("A","F"))</f>
        <v>A</v>
      </c>
      <c r="D82" s="176" t="str">
        <v>B</v>
      </c>
      <c r="E82" s="176" t="str">
        <v>C</v>
      </c>
      <c r="F82" s="176" t="str">
        <v>D</v>
      </c>
      <c r="G82" s="176" t="str">
        <v>E</v>
      </c>
      <c r="H82" s="176" t="str">
        <v>F</v>
      </c>
    </row>
    <row r="83" spans="2:15" x14ac:dyDescent="0.25">
      <c r="B83" s="37" cm="1">
        <f t="array" ref="B83:B91">_xlfn.SEQUENCE(9)</f>
        <v>1</v>
      </c>
      <c r="C83" s="177" t="s">
        <v>328</v>
      </c>
      <c r="D83" s="178" t="s">
        <v>892</v>
      </c>
      <c r="E83" s="178" t="s">
        <v>328</v>
      </c>
      <c r="F83" s="178" t="s">
        <v>345</v>
      </c>
      <c r="G83" s="179" t="s">
        <v>328</v>
      </c>
      <c r="H83" s="180" t="s">
        <v>328</v>
      </c>
    </row>
    <row r="84" spans="2:15" x14ac:dyDescent="0.25">
      <c r="B84" s="37">
        <v>2</v>
      </c>
      <c r="C84" s="181" t="s">
        <v>893</v>
      </c>
      <c r="D84" s="182" t="s">
        <v>345</v>
      </c>
      <c r="E84" s="183" t="s">
        <v>892</v>
      </c>
      <c r="F84" s="182" t="s">
        <v>345</v>
      </c>
      <c r="G84" s="183" t="s">
        <v>894</v>
      </c>
      <c r="H84" s="184" t="s">
        <v>328</v>
      </c>
    </row>
    <row r="85" spans="2:15" x14ac:dyDescent="0.25">
      <c r="B85" s="37">
        <v>3</v>
      </c>
      <c r="C85" s="185" t="s">
        <v>895</v>
      </c>
      <c r="D85" s="183" t="s">
        <v>892</v>
      </c>
      <c r="E85" s="182" t="s">
        <v>896</v>
      </c>
      <c r="F85" s="186" t="s">
        <v>328</v>
      </c>
      <c r="G85" s="187" t="s">
        <v>895</v>
      </c>
      <c r="H85" s="188" t="s">
        <v>897</v>
      </c>
    </row>
    <row r="86" spans="2:15" x14ac:dyDescent="0.25">
      <c r="B86" s="37">
        <v>4</v>
      </c>
      <c r="C86" s="189" t="s">
        <v>328</v>
      </c>
      <c r="D86" s="187" t="s">
        <v>89</v>
      </c>
      <c r="E86" s="183" t="s">
        <v>175</v>
      </c>
      <c r="F86" s="187" t="s">
        <v>89</v>
      </c>
      <c r="G86" s="186" t="s">
        <v>328</v>
      </c>
      <c r="H86" s="188" t="s">
        <v>897</v>
      </c>
    </row>
    <row r="87" spans="2:15" x14ac:dyDescent="0.25">
      <c r="B87" s="37">
        <v>5</v>
      </c>
      <c r="C87" s="190" t="s">
        <v>895</v>
      </c>
      <c r="D87" s="183" t="s">
        <v>898</v>
      </c>
      <c r="E87" s="187" t="s">
        <v>896</v>
      </c>
      <c r="F87" s="186" t="s">
        <v>328</v>
      </c>
      <c r="G87" s="182" t="s">
        <v>895</v>
      </c>
      <c r="H87" s="188" t="s">
        <v>91</v>
      </c>
    </row>
    <row r="88" spans="2:15" x14ac:dyDescent="0.25">
      <c r="B88" s="37">
        <v>6</v>
      </c>
      <c r="C88" s="189" t="s">
        <v>328</v>
      </c>
      <c r="D88" s="187" t="s">
        <v>345</v>
      </c>
      <c r="E88" s="183" t="s">
        <v>899</v>
      </c>
      <c r="F88" s="187" t="s">
        <v>345</v>
      </c>
      <c r="G88" s="183" t="s">
        <v>899</v>
      </c>
      <c r="H88" s="188" t="s">
        <v>345</v>
      </c>
    </row>
    <row r="89" spans="2:15" x14ac:dyDescent="0.25">
      <c r="B89" s="37">
        <v>7</v>
      </c>
      <c r="C89" s="181" t="s">
        <v>895</v>
      </c>
      <c r="D89" s="183" t="s">
        <v>897</v>
      </c>
      <c r="E89" s="183" t="s">
        <v>898</v>
      </c>
      <c r="F89" s="183" t="s">
        <v>896</v>
      </c>
      <c r="G89" s="183" t="s">
        <v>898</v>
      </c>
      <c r="H89" s="188" t="s">
        <v>897</v>
      </c>
    </row>
    <row r="90" spans="2:15" x14ac:dyDescent="0.25">
      <c r="B90" s="37">
        <v>8</v>
      </c>
      <c r="C90" s="189" t="s">
        <v>328</v>
      </c>
      <c r="D90" s="183" t="s">
        <v>900</v>
      </c>
      <c r="E90" s="183" t="s">
        <v>91</v>
      </c>
      <c r="F90" s="183" t="s">
        <v>89</v>
      </c>
      <c r="G90" s="183" t="s">
        <v>90</v>
      </c>
      <c r="H90" s="188" t="s">
        <v>901</v>
      </c>
    </row>
    <row r="91" spans="2:15" ht="15.75" thickBot="1" x14ac:dyDescent="0.3">
      <c r="B91" s="37">
        <v>9</v>
      </c>
      <c r="C91" s="191" t="s">
        <v>328</v>
      </c>
      <c r="D91" s="192" t="s">
        <v>328</v>
      </c>
      <c r="E91" s="192" t="s">
        <v>328</v>
      </c>
      <c r="F91" s="192" t="s">
        <v>328</v>
      </c>
      <c r="G91" s="192" t="s">
        <v>328</v>
      </c>
      <c r="H91" s="193" t="s">
        <v>902</v>
      </c>
    </row>
    <row r="92" spans="2:15" x14ac:dyDescent="0.2">
      <c r="G92"/>
    </row>
    <row r="93" spans="2:15" x14ac:dyDescent="0.2">
      <c r="G93"/>
    </row>
    <row r="94" spans="2:15" x14ac:dyDescent="0.25">
      <c r="C94" s="37" t="s">
        <v>903</v>
      </c>
      <c r="D94" s="176"/>
      <c r="E94" s="44"/>
      <c r="F94" s="44" t="s">
        <v>905</v>
      </c>
      <c r="G94" s="44"/>
      <c r="H94" s="44"/>
      <c r="I94"/>
      <c r="J94" s="194" t="s">
        <v>904</v>
      </c>
      <c r="K94" s="176"/>
      <c r="L94" s="44" t="s">
        <v>906</v>
      </c>
      <c r="M94" s="44"/>
      <c r="N94" s="44"/>
      <c r="O94" s="44"/>
    </row>
    <row r="95" spans="2:15" x14ac:dyDescent="0.2">
      <c r="C95" s="195" t="str" cm="1">
        <f t="array" aca="1" ref="C95:H108" ca="1">L.ROT_45(L.AD(C83:H91,4),1,"")</f>
        <v/>
      </c>
      <c r="D95" s="196" t="str">
        <f ca="1"/>
        <v/>
      </c>
      <c r="E95" s="196" t="str">
        <f ca="1"/>
        <v/>
      </c>
      <c r="F95" s="196" t="str">
        <f ca="1"/>
        <v/>
      </c>
      <c r="G95" s="196" t="str">
        <f ca="1"/>
        <v/>
      </c>
      <c r="H95" s="197" t="str">
        <f ca="1"/>
        <v>H83</v>
      </c>
      <c r="I95"/>
      <c r="J95" s="195" t="str" cm="1">
        <f t="array" ref="J95:O108">L.ROT_45(C83:H91,1,"")</f>
        <v/>
      </c>
      <c r="K95" s="196" t="str">
        <v/>
      </c>
      <c r="L95" s="196" t="str">
        <v/>
      </c>
      <c r="M95" s="196" t="str">
        <v/>
      </c>
      <c r="N95" s="196" t="str">
        <v/>
      </c>
      <c r="O95" s="197" t="str">
        <v>x</v>
      </c>
    </row>
    <row r="96" spans="2:15" x14ac:dyDescent="0.2">
      <c r="C96" s="198" t="str">
        <f ca="1"/>
        <v/>
      </c>
      <c r="D96" s="44" t="str">
        <f ca="1"/>
        <v/>
      </c>
      <c r="E96" s="44" t="str">
        <f ca="1"/>
        <v/>
      </c>
      <c r="F96" s="44" t="str">
        <f ca="1"/>
        <v/>
      </c>
      <c r="G96" s="199" t="str">
        <f ca="1"/>
        <v>G83</v>
      </c>
      <c r="H96" s="200" t="str">
        <f ca="1"/>
        <v>H84</v>
      </c>
      <c r="I96"/>
      <c r="J96" s="198" t="str">
        <v/>
      </c>
      <c r="K96" s="44" t="str">
        <v/>
      </c>
      <c r="L96" s="44" t="str">
        <v/>
      </c>
      <c r="M96" s="44" t="str">
        <v/>
      </c>
      <c r="N96" s="199" t="str">
        <v>x</v>
      </c>
      <c r="O96" s="200" t="str">
        <v>x</v>
      </c>
    </row>
    <row r="97" spans="1:15" x14ac:dyDescent="0.2">
      <c r="C97" s="198" t="str">
        <f ca="1"/>
        <v/>
      </c>
      <c r="D97" s="44" t="str">
        <f ca="1"/>
        <v/>
      </c>
      <c r="E97" s="44" t="str">
        <f ca="1"/>
        <v/>
      </c>
      <c r="F97" s="199" t="str">
        <f ca="1"/>
        <v>F83</v>
      </c>
      <c r="G97" s="199" t="str">
        <f ca="1"/>
        <v>G84</v>
      </c>
      <c r="H97" s="200" t="str">
        <f ca="1"/>
        <v>H85</v>
      </c>
      <c r="I97"/>
      <c r="J97" s="198" t="str">
        <v/>
      </c>
      <c r="K97" s="44" t="str">
        <v/>
      </c>
      <c r="L97" s="44" t="str">
        <v/>
      </c>
      <c r="M97" s="199" t="str">
        <v>D</v>
      </c>
      <c r="N97" s="199" t="str">
        <v>L</v>
      </c>
      <c r="O97" s="200" t="str">
        <v>O</v>
      </c>
    </row>
    <row r="98" spans="1:15" x14ac:dyDescent="0.2">
      <c r="C98" s="198" t="str">
        <f ca="1"/>
        <v/>
      </c>
      <c r="D98" s="44" t="str">
        <f ca="1"/>
        <v/>
      </c>
      <c r="E98" s="199" t="str">
        <f ca="1"/>
        <v>E83</v>
      </c>
      <c r="F98" s="199" t="str">
        <f ca="1"/>
        <v>F84</v>
      </c>
      <c r="G98" s="199" t="str">
        <f ca="1"/>
        <v>G85</v>
      </c>
      <c r="H98" s="200" t="str">
        <f ca="1"/>
        <v>H86</v>
      </c>
      <c r="I98"/>
      <c r="J98" s="198" t="str">
        <v/>
      </c>
      <c r="K98" s="44" t="str">
        <v/>
      </c>
      <c r="L98" s="199" t="str">
        <v>x</v>
      </c>
      <c r="M98" s="199" t="str">
        <v>D</v>
      </c>
      <c r="N98" s="199" t="str">
        <v>G</v>
      </c>
      <c r="O98" s="200" t="str">
        <v>O</v>
      </c>
    </row>
    <row r="99" spans="1:15" x14ac:dyDescent="0.2">
      <c r="C99" s="198" t="str">
        <f ca="1"/>
        <v/>
      </c>
      <c r="D99" s="199" t="str">
        <f ca="1"/>
        <v>D83</v>
      </c>
      <c r="E99" s="199" t="str">
        <f ca="1"/>
        <v>E84</v>
      </c>
      <c r="F99" s="199" t="str">
        <f ca="1"/>
        <v>F85</v>
      </c>
      <c r="G99" s="199" t="str">
        <f ca="1"/>
        <v>G86</v>
      </c>
      <c r="H99" s="200" t="str">
        <f ca="1"/>
        <v>H87</v>
      </c>
      <c r="I99"/>
      <c r="J99" s="198" t="str">
        <v/>
      </c>
      <c r="K99" s="199" t="str">
        <v>P</v>
      </c>
      <c r="L99" s="199" t="str">
        <v>P</v>
      </c>
      <c r="M99" s="199" t="str">
        <v>x</v>
      </c>
      <c r="N99" s="199" t="str">
        <v>x</v>
      </c>
      <c r="O99" s="200" t="str">
        <v>C</v>
      </c>
    </row>
    <row r="100" spans="1:15" x14ac:dyDescent="0.25">
      <c r="C100" s="201" t="str">
        <f ca="1"/>
        <v>C83</v>
      </c>
      <c r="D100" s="202" t="str">
        <f ca="1"/>
        <v>D84</v>
      </c>
      <c r="E100" s="202" t="str">
        <f ca="1"/>
        <v>E85</v>
      </c>
      <c r="F100" s="202" t="str">
        <f ca="1"/>
        <v>F86</v>
      </c>
      <c r="G100" s="202" t="str">
        <f ca="1"/>
        <v>G87</v>
      </c>
      <c r="H100" s="200" t="str">
        <f ca="1"/>
        <v>H88</v>
      </c>
      <c r="I100"/>
      <c r="J100" s="201" t="str">
        <v>x</v>
      </c>
      <c r="K100" s="202" t="str">
        <v>D</v>
      </c>
      <c r="L100" s="202" t="str">
        <v>I</v>
      </c>
      <c r="M100" s="202" t="str">
        <v>A</v>
      </c>
      <c r="N100" s="202" t="str">
        <v>G</v>
      </c>
      <c r="O100" s="200" t="str">
        <v>D</v>
      </c>
    </row>
    <row r="101" spans="1:15" x14ac:dyDescent="0.2">
      <c r="C101" s="201" t="str">
        <f ca="1"/>
        <v>C84</v>
      </c>
      <c r="D101" s="199" t="str">
        <f ca="1"/>
        <v>D85</v>
      </c>
      <c r="E101" s="199" t="str">
        <f ca="1"/>
        <v>E86</v>
      </c>
      <c r="F101" s="199" t="str">
        <f ca="1"/>
        <v>F87</v>
      </c>
      <c r="G101" s="199" t="str">
        <f ca="1"/>
        <v>G88</v>
      </c>
      <c r="H101" s="200" t="str">
        <f ca="1"/>
        <v>H89</v>
      </c>
      <c r="I101"/>
      <c r="J101" s="201" t="str">
        <v>U</v>
      </c>
      <c r="K101" s="199" t="str">
        <v>P</v>
      </c>
      <c r="L101" s="199" t="str">
        <v>H</v>
      </c>
      <c r="M101" s="199" t="str">
        <v>x</v>
      </c>
      <c r="N101" s="199" t="str">
        <v>S</v>
      </c>
      <c r="O101" s="200" t="str">
        <v>O</v>
      </c>
    </row>
    <row r="102" spans="1:15" x14ac:dyDescent="0.2">
      <c r="C102" s="201" t="str">
        <f ca="1"/>
        <v>C85</v>
      </c>
      <c r="D102" s="199" t="str">
        <f ca="1"/>
        <v>D86</v>
      </c>
      <c r="E102" s="199" t="str">
        <f ca="1"/>
        <v>E87</v>
      </c>
      <c r="F102" s="199" t="str">
        <f ca="1"/>
        <v>F88</v>
      </c>
      <c r="G102" s="199" t="str">
        <f ca="1"/>
        <v>G89</v>
      </c>
      <c r="H102" s="200" t="str">
        <f ca="1"/>
        <v>H90</v>
      </c>
      <c r="I102"/>
      <c r="J102" s="201" t="str">
        <v>G</v>
      </c>
      <c r="K102" s="199" t="str">
        <v>A</v>
      </c>
      <c r="L102" s="199" t="str">
        <v>I</v>
      </c>
      <c r="M102" s="199" t="str">
        <v>D</v>
      </c>
      <c r="N102" s="199" t="str">
        <v>T</v>
      </c>
      <c r="O102" s="200" t="str">
        <v>W</v>
      </c>
    </row>
    <row r="103" spans="1:15" x14ac:dyDescent="0.2">
      <c r="C103" s="201" t="str">
        <f ca="1"/>
        <v>C86</v>
      </c>
      <c r="D103" s="199" t="str">
        <f ca="1"/>
        <v>D87</v>
      </c>
      <c r="E103" s="199" t="str">
        <f ca="1"/>
        <v>E88</v>
      </c>
      <c r="F103" s="199" t="str">
        <f ca="1"/>
        <v>F89</v>
      </c>
      <c r="G103" s="199" t="str">
        <f ca="1"/>
        <v>G90</v>
      </c>
      <c r="H103" s="200" t="str">
        <f ca="1"/>
        <v>H91</v>
      </c>
      <c r="I103"/>
      <c r="J103" s="201" t="str">
        <v>x</v>
      </c>
      <c r="K103" s="199" t="str">
        <v>T</v>
      </c>
      <c r="L103" s="199" t="str">
        <v>S</v>
      </c>
      <c r="M103" s="199" t="str">
        <v>I</v>
      </c>
      <c r="N103" s="199" t="str">
        <v>B</v>
      </c>
      <c r="O103" s="200" t="str">
        <v>N</v>
      </c>
    </row>
    <row r="104" spans="1:15" x14ac:dyDescent="0.2">
      <c r="C104" s="201" t="str">
        <f ca="1"/>
        <v>C87</v>
      </c>
      <c r="D104" s="199" t="str">
        <f ca="1"/>
        <v>D88</v>
      </c>
      <c r="E104" s="199" t="str">
        <f ca="1"/>
        <v>E89</v>
      </c>
      <c r="F104" s="199" t="str">
        <f ca="1"/>
        <v>F90</v>
      </c>
      <c r="G104" s="199" t="str">
        <f ca="1"/>
        <v>G91</v>
      </c>
      <c r="H104" s="203" t="str">
        <f ca="1"/>
        <v/>
      </c>
      <c r="I104"/>
      <c r="J104" s="201" t="str">
        <v>G</v>
      </c>
      <c r="K104" s="199" t="str">
        <v>D</v>
      </c>
      <c r="L104" s="199" t="str">
        <v>T</v>
      </c>
      <c r="M104" s="199" t="str">
        <v>A</v>
      </c>
      <c r="N104" s="199" t="str">
        <v>x</v>
      </c>
      <c r="O104" s="203" t="str">
        <v/>
      </c>
    </row>
    <row r="105" spans="1:15" x14ac:dyDescent="0.2">
      <c r="C105" s="201" t="str">
        <f ca="1"/>
        <v>C88</v>
      </c>
      <c r="D105" s="199" t="str">
        <f ca="1"/>
        <v>D89</v>
      </c>
      <c r="E105" s="199" t="str">
        <f ca="1"/>
        <v>E90</v>
      </c>
      <c r="F105" s="199" t="str">
        <f ca="1"/>
        <v>F91</v>
      </c>
      <c r="G105" s="44" t="str">
        <f ca="1"/>
        <v/>
      </c>
      <c r="H105" s="203" t="str">
        <f ca="1"/>
        <v/>
      </c>
      <c r="I105"/>
      <c r="J105" s="201" t="str">
        <v>x</v>
      </c>
      <c r="K105" s="199" t="str">
        <v>O</v>
      </c>
      <c r="L105" s="199" t="str">
        <v>C</v>
      </c>
      <c r="M105" s="199" t="str">
        <v>x</v>
      </c>
      <c r="N105" s="44" t="str">
        <v/>
      </c>
      <c r="O105" s="203" t="str">
        <v/>
      </c>
    </row>
    <row r="106" spans="1:15" x14ac:dyDescent="0.2">
      <c r="C106" s="201" t="str">
        <f ca="1"/>
        <v>C89</v>
      </c>
      <c r="D106" s="199" t="str">
        <f ca="1"/>
        <v>D90</v>
      </c>
      <c r="E106" s="199" t="str">
        <f ca="1"/>
        <v>E91</v>
      </c>
      <c r="F106" s="44" t="str">
        <f ca="1"/>
        <v/>
      </c>
      <c r="G106" s="44" t="str">
        <f ca="1"/>
        <v/>
      </c>
      <c r="H106" s="203" t="str">
        <f ca="1"/>
        <v/>
      </c>
      <c r="I106"/>
      <c r="J106" s="201" t="str">
        <v>G</v>
      </c>
      <c r="K106" s="199" t="str">
        <v>K</v>
      </c>
      <c r="L106" s="199" t="str">
        <v>x</v>
      </c>
      <c r="M106" s="44" t="str">
        <v/>
      </c>
      <c r="N106" s="44" t="str">
        <v/>
      </c>
      <c r="O106" s="203" t="str">
        <v/>
      </c>
    </row>
    <row r="107" spans="1:15" x14ac:dyDescent="0.2">
      <c r="C107" s="201" t="str">
        <f ca="1"/>
        <v>C90</v>
      </c>
      <c r="D107" s="199" t="str">
        <f ca="1"/>
        <v>D91</v>
      </c>
      <c r="E107" s="44" t="str">
        <f ca="1"/>
        <v/>
      </c>
      <c r="F107" s="44" t="str">
        <f ca="1"/>
        <v/>
      </c>
      <c r="G107" s="44" t="str">
        <f ca="1"/>
        <v/>
      </c>
      <c r="H107" s="203" t="str">
        <f ca="1"/>
        <v/>
      </c>
      <c r="I107"/>
      <c r="J107" s="201" t="str">
        <v>x</v>
      </c>
      <c r="K107" s="199" t="str">
        <v>x</v>
      </c>
      <c r="L107" s="44" t="str">
        <v/>
      </c>
      <c r="M107" s="44" t="str">
        <v/>
      </c>
      <c r="N107" s="44" t="str">
        <v/>
      </c>
      <c r="O107" s="203" t="str">
        <v/>
      </c>
    </row>
    <row r="108" spans="1:15" x14ac:dyDescent="0.2">
      <c r="C108" s="204" t="str">
        <f ca="1"/>
        <v>C91</v>
      </c>
      <c r="D108" s="205" t="str">
        <f ca="1"/>
        <v/>
      </c>
      <c r="E108" s="205" t="str">
        <f ca="1"/>
        <v/>
      </c>
      <c r="F108" s="205" t="str">
        <f ca="1"/>
        <v/>
      </c>
      <c r="G108" s="205" t="str">
        <f ca="1"/>
        <v/>
      </c>
      <c r="H108" s="206" t="str">
        <f ca="1"/>
        <v/>
      </c>
      <c r="I108"/>
      <c r="J108" s="204" t="str">
        <v>x</v>
      </c>
      <c r="K108" s="205" t="str">
        <v/>
      </c>
      <c r="L108" s="205" t="str">
        <v/>
      </c>
      <c r="M108" s="205" t="str">
        <v/>
      </c>
      <c r="N108" s="205" t="str">
        <v/>
      </c>
      <c r="O108" s="206" t="str">
        <v/>
      </c>
    </row>
    <row r="109" spans="1:15" x14ac:dyDescent="0.2">
      <c r="G109"/>
    </row>
    <row r="110" spans="1:15" x14ac:dyDescent="0.2">
      <c r="G110"/>
    </row>
    <row r="112" spans="1:15" customFormat="1" ht="23.25" x14ac:dyDescent="0.2">
      <c r="A112" s="7" t="s">
        <v>6</v>
      </c>
      <c r="B112" s="12" t="s">
        <v>789</v>
      </c>
      <c r="C112" s="8"/>
      <c r="D112" s="8"/>
      <c r="E112" s="8"/>
      <c r="F112" s="8"/>
      <c r="G112" s="8"/>
      <c r="H112" s="8"/>
      <c r="I112" s="8"/>
      <c r="J112" s="8"/>
      <c r="K112" s="7"/>
    </row>
    <row r="113" spans="1:11" customFormat="1" ht="18" customHeight="1" x14ac:dyDescent="0.2">
      <c r="A113" s="7"/>
      <c r="B113" s="38" t="s">
        <v>159</v>
      </c>
      <c r="C113" s="7"/>
      <c r="D113" s="7"/>
      <c r="E113" s="7"/>
      <c r="F113" s="7"/>
      <c r="G113" s="7"/>
      <c r="H113" s="7"/>
      <c r="I113" s="7"/>
      <c r="J113" s="7"/>
      <c r="K113" s="7"/>
    </row>
    <row r="114" spans="1:11" x14ac:dyDescent="0.2">
      <c r="B114" s="41" t="s">
        <v>516</v>
      </c>
    </row>
    <row r="116" spans="1:11" x14ac:dyDescent="0.2">
      <c r="C116" s="39" t="s">
        <v>112</v>
      </c>
      <c r="D116" s="42">
        <v>1</v>
      </c>
    </row>
    <row r="117" spans="1:11" x14ac:dyDescent="0.2">
      <c r="C117" s="39" t="s">
        <v>160</v>
      </c>
      <c r="D117" s="42">
        <v>1</v>
      </c>
    </row>
    <row r="119" spans="1:11" x14ac:dyDescent="0.2">
      <c r="C119" s="57" t="s">
        <v>831</v>
      </c>
      <c r="G119" s="57" t="s">
        <v>832</v>
      </c>
    </row>
    <row r="120" spans="1:11" x14ac:dyDescent="0.2">
      <c r="C120" s="39" t="s">
        <v>94</v>
      </c>
      <c r="D120" s="39"/>
      <c r="E120" s="39"/>
      <c r="G120" s="39" t="s">
        <v>94</v>
      </c>
      <c r="H120" s="39"/>
      <c r="I120" s="39"/>
    </row>
    <row r="121" spans="1:11" x14ac:dyDescent="0.2">
      <c r="C121" s="138" t="str" cm="1">
        <f t="array" ref="C121:E125">{1;2;3;4;5}&amp;{"A","B","C"}</f>
        <v>1A</v>
      </c>
      <c r="D121" s="138" t="str">
        <v>1B</v>
      </c>
      <c r="E121" s="138" t="str">
        <v>1C</v>
      </c>
      <c r="G121" s="138" t="str" cm="1">
        <f t="array" ref="G121:I125">{1;2;3;4;5}&amp;{"A","B","C"}</f>
        <v>1A</v>
      </c>
      <c r="H121" s="42" t="str">
        <v>1B</v>
      </c>
      <c r="I121" s="42" t="str">
        <v>1C</v>
      </c>
    </row>
    <row r="122" spans="1:11" x14ac:dyDescent="0.2">
      <c r="C122" s="42" t="str">
        <v>2A</v>
      </c>
      <c r="D122" s="42" t="str">
        <v>2B</v>
      </c>
      <c r="E122" s="42" t="str">
        <v>2C</v>
      </c>
      <c r="G122" s="138" t="str">
        <v>2A</v>
      </c>
      <c r="H122" s="42" t="str">
        <v>2B</v>
      </c>
      <c r="I122" s="42" t="str">
        <v>2C</v>
      </c>
    </row>
    <row r="123" spans="1:11" x14ac:dyDescent="0.2">
      <c r="C123" s="42" t="str">
        <v>3A</v>
      </c>
      <c r="D123" s="42" t="str">
        <v>3B</v>
      </c>
      <c r="E123" s="42" t="str">
        <v>3C</v>
      </c>
      <c r="G123" s="138" t="str">
        <v>3A</v>
      </c>
      <c r="H123" s="42" t="str">
        <v>3B</v>
      </c>
      <c r="I123" s="42" t="str">
        <v>3C</v>
      </c>
    </row>
    <row r="124" spans="1:11" x14ac:dyDescent="0.2">
      <c r="C124" s="42" t="str">
        <v>4A</v>
      </c>
      <c r="D124" s="42" t="str">
        <v>4B</v>
      </c>
      <c r="E124" s="42" t="str">
        <v>4C</v>
      </c>
      <c r="G124" s="138" t="str">
        <v>4A</v>
      </c>
      <c r="H124" s="42" t="str">
        <v>4B</v>
      </c>
      <c r="I124" s="42" t="str">
        <v>4C</v>
      </c>
    </row>
    <row r="125" spans="1:11" x14ac:dyDescent="0.2">
      <c r="C125" s="42" t="str">
        <v>5A</v>
      </c>
      <c r="D125" s="42" t="str">
        <v>5B</v>
      </c>
      <c r="E125" s="42" t="str">
        <v>5C</v>
      </c>
      <c r="G125" s="138" t="str">
        <v>5A</v>
      </c>
      <c r="H125" s="42" t="str">
        <v>5B</v>
      </c>
      <c r="I125" s="42" t="str">
        <v>5C</v>
      </c>
    </row>
    <row r="127" spans="1:11" x14ac:dyDescent="0.2">
      <c r="C127" s="150" t="s">
        <v>833</v>
      </c>
      <c r="D127" s="40"/>
      <c r="E127" s="40"/>
      <c r="F127" s="45"/>
      <c r="G127" s="150" t="s">
        <v>834</v>
      </c>
      <c r="H127" s="40"/>
      <c r="I127" s="40"/>
    </row>
    <row r="128" spans="1:11" x14ac:dyDescent="0.2">
      <c r="C128" s="45" t="str" cm="1">
        <f t="array" ref="C128:E132">L.CIRCSHIFT(_xlfn.ANCHORARRAY(C121),D116,D117)</f>
        <v>5A</v>
      </c>
      <c r="D128" s="44" t="str">
        <v>5B</v>
      </c>
      <c r="E128" s="45" t="str">
        <v>5C</v>
      </c>
      <c r="F128" s="45"/>
      <c r="G128" s="45" t="str" cm="1">
        <f t="array" ref="G128:I132">L.CIRCSHIFT(_xlfn.ANCHORARRAY(G121),1,2)</f>
        <v>1C</v>
      </c>
      <c r="H128" s="151" t="str">
        <v>1A</v>
      </c>
      <c r="I128" s="45" t="str">
        <v>1B</v>
      </c>
    </row>
    <row r="129" spans="1:11" x14ac:dyDescent="0.2">
      <c r="C129" s="146" t="str">
        <v>1A</v>
      </c>
      <c r="D129" s="151" t="str">
        <v>1B</v>
      </c>
      <c r="E129" s="146" t="str">
        <v>1C</v>
      </c>
      <c r="F129" s="45"/>
      <c r="G129" s="45" t="str">
        <v>2C</v>
      </c>
      <c r="H129" s="151" t="str">
        <v>2A</v>
      </c>
      <c r="I129" s="45" t="str">
        <v>2B</v>
      </c>
    </row>
    <row r="130" spans="1:11" x14ac:dyDescent="0.2">
      <c r="C130" s="45" t="str">
        <v>2A</v>
      </c>
      <c r="D130" s="44" t="str">
        <v>2B</v>
      </c>
      <c r="E130" s="45" t="str">
        <v>2C</v>
      </c>
      <c r="F130" s="45"/>
      <c r="G130" s="45" t="str">
        <v>3C</v>
      </c>
      <c r="H130" s="151" t="str">
        <v>3A</v>
      </c>
      <c r="I130" s="45" t="str">
        <v>3B</v>
      </c>
    </row>
    <row r="131" spans="1:11" x14ac:dyDescent="0.2">
      <c r="C131" s="45" t="str">
        <v>3A</v>
      </c>
      <c r="D131" s="44" t="str">
        <v>3B</v>
      </c>
      <c r="E131" s="45" t="str">
        <v>3C</v>
      </c>
      <c r="F131" s="45"/>
      <c r="G131" s="45" t="str">
        <v>4C</v>
      </c>
      <c r="H131" s="151" t="str">
        <v>4A</v>
      </c>
      <c r="I131" s="45" t="str">
        <v>4B</v>
      </c>
    </row>
    <row r="132" spans="1:11" x14ac:dyDescent="0.2">
      <c r="C132" s="45" t="str">
        <v>4A</v>
      </c>
      <c r="D132" s="45" t="str">
        <v>4B</v>
      </c>
      <c r="E132" s="45" t="str">
        <v>4C</v>
      </c>
      <c r="G132" s="45" t="str">
        <v>5C</v>
      </c>
      <c r="H132" s="146" t="str">
        <v>5A</v>
      </c>
      <c r="I132" s="45" t="str">
        <v>5B</v>
      </c>
    </row>
    <row r="133" spans="1:11" x14ac:dyDescent="0.2">
      <c r="C133" s="45"/>
      <c r="D133" s="45"/>
      <c r="E133" s="45"/>
    </row>
    <row r="134" spans="1:11" x14ac:dyDescent="0.2">
      <c r="C134" s="45"/>
      <c r="D134" s="45"/>
      <c r="E134" s="45"/>
    </row>
    <row r="135" spans="1:11" x14ac:dyDescent="0.2">
      <c r="C135" s="45"/>
      <c r="D135" s="45"/>
      <c r="E135" s="45"/>
    </row>
    <row r="136" spans="1:11" x14ac:dyDescent="0.2">
      <c r="C136" s="45"/>
      <c r="D136" s="45"/>
      <c r="E136" s="45"/>
    </row>
    <row r="138" spans="1:11" customFormat="1" ht="23.25" x14ac:dyDescent="0.2">
      <c r="A138" s="7" t="s">
        <v>6</v>
      </c>
      <c r="B138" s="12" t="s">
        <v>818</v>
      </c>
      <c r="C138" s="8"/>
      <c r="D138" s="8"/>
      <c r="E138" s="8"/>
      <c r="F138" s="8"/>
      <c r="G138" s="8"/>
      <c r="H138" s="8"/>
      <c r="I138" s="8"/>
      <c r="J138" s="8"/>
      <c r="K138" s="7"/>
    </row>
    <row r="139" spans="1:11" customFormat="1" ht="18" customHeight="1" x14ac:dyDescent="0.2">
      <c r="A139" s="7"/>
      <c r="B139" s="38" t="s">
        <v>161</v>
      </c>
      <c r="C139" s="7"/>
      <c r="D139" s="7"/>
      <c r="E139" s="7"/>
      <c r="F139" s="7"/>
      <c r="G139" s="7"/>
      <c r="H139" s="7"/>
      <c r="I139" s="7"/>
      <c r="J139" s="7"/>
      <c r="K139" s="7"/>
    </row>
    <row r="140" spans="1:11" x14ac:dyDescent="0.2">
      <c r="B140" s="41" t="s">
        <v>517</v>
      </c>
    </row>
    <row r="142" spans="1:11" x14ac:dyDescent="0.2">
      <c r="C142" s="39" t="s">
        <v>94</v>
      </c>
      <c r="D142" s="42" t="s">
        <v>89</v>
      </c>
      <c r="E142" s="42">
        <v>1</v>
      </c>
      <c r="G142" s="39" t="s">
        <v>653</v>
      </c>
      <c r="H142" s="42">
        <v>4</v>
      </c>
    </row>
    <row r="143" spans="1:11" x14ac:dyDescent="0.2">
      <c r="D143" s="42">
        <v>2</v>
      </c>
      <c r="E143" s="42" t="s">
        <v>90</v>
      </c>
      <c r="G143" s="39" t="s">
        <v>654</v>
      </c>
      <c r="H143" s="42">
        <v>3</v>
      </c>
    </row>
    <row r="144" spans="1:11" ht="15.75" thickBot="1" x14ac:dyDescent="0.25">
      <c r="D144" s="45"/>
    </row>
    <row r="145" spans="1:11" ht="15.75" thickTop="1" x14ac:dyDescent="0.2">
      <c r="C145" s="40" t="s">
        <v>162</v>
      </c>
      <c r="D145" s="133" t="str" cm="1">
        <f t="array" ref="D145:I152">L.REPARRAY(D142:E143,H142,H143)</f>
        <v>A</v>
      </c>
      <c r="E145" s="134">
        <v>1</v>
      </c>
      <c r="F145" s="133" t="str">
        <v>A</v>
      </c>
      <c r="G145" s="134">
        <v>1</v>
      </c>
      <c r="H145" s="133" t="str">
        <v>A</v>
      </c>
      <c r="I145" s="134">
        <v>1</v>
      </c>
    </row>
    <row r="146" spans="1:11" ht="15.75" thickBot="1" x14ac:dyDescent="0.25">
      <c r="D146" s="135">
        <v>2</v>
      </c>
      <c r="E146" s="136" t="str">
        <v>B</v>
      </c>
      <c r="F146" s="135">
        <v>2</v>
      </c>
      <c r="G146" s="136" t="str">
        <v>B</v>
      </c>
      <c r="H146" s="135">
        <v>2</v>
      </c>
      <c r="I146" s="136" t="str">
        <v>B</v>
      </c>
    </row>
    <row r="147" spans="1:11" ht="15.75" thickTop="1" x14ac:dyDescent="0.2">
      <c r="D147" s="133" t="str">
        <v>A</v>
      </c>
      <c r="E147" s="134">
        <v>1</v>
      </c>
      <c r="F147" s="133" t="str">
        <v>A</v>
      </c>
      <c r="G147" s="134">
        <v>1</v>
      </c>
      <c r="H147" s="133" t="str">
        <v>A</v>
      </c>
      <c r="I147" s="134">
        <v>1</v>
      </c>
    </row>
    <row r="148" spans="1:11" ht="15.75" thickBot="1" x14ac:dyDescent="0.25">
      <c r="D148" s="135">
        <v>2</v>
      </c>
      <c r="E148" s="136" t="str">
        <v>B</v>
      </c>
      <c r="F148" s="135">
        <v>2</v>
      </c>
      <c r="G148" s="136" t="str">
        <v>B</v>
      </c>
      <c r="H148" s="135">
        <v>2</v>
      </c>
      <c r="I148" s="136" t="str">
        <v>B</v>
      </c>
    </row>
    <row r="149" spans="1:11" ht="15.75" thickTop="1" x14ac:dyDescent="0.2">
      <c r="D149" s="133" t="str">
        <v>A</v>
      </c>
      <c r="E149" s="134">
        <v>1</v>
      </c>
      <c r="F149" s="133" t="str">
        <v>A</v>
      </c>
      <c r="G149" s="134">
        <v>1</v>
      </c>
      <c r="H149" s="133" t="str">
        <v>A</v>
      </c>
      <c r="I149" s="134">
        <v>1</v>
      </c>
    </row>
    <row r="150" spans="1:11" ht="15.75" thickBot="1" x14ac:dyDescent="0.25">
      <c r="D150" s="135">
        <v>2</v>
      </c>
      <c r="E150" s="136" t="str">
        <v>B</v>
      </c>
      <c r="F150" s="135">
        <v>2</v>
      </c>
      <c r="G150" s="136" t="str">
        <v>B</v>
      </c>
      <c r="H150" s="135">
        <v>2</v>
      </c>
      <c r="I150" s="136" t="str">
        <v>B</v>
      </c>
    </row>
    <row r="151" spans="1:11" ht="15.75" thickTop="1" x14ac:dyDescent="0.2">
      <c r="D151" s="133" t="str">
        <v>A</v>
      </c>
      <c r="E151" s="134">
        <v>1</v>
      </c>
      <c r="F151" s="133" t="str">
        <v>A</v>
      </c>
      <c r="G151" s="134">
        <v>1</v>
      </c>
      <c r="H151" s="133" t="str">
        <v>A</v>
      </c>
      <c r="I151" s="134">
        <v>1</v>
      </c>
    </row>
    <row r="152" spans="1:11" ht="15.75" thickBot="1" x14ac:dyDescent="0.25">
      <c r="D152" s="135">
        <v>2</v>
      </c>
      <c r="E152" s="136" t="str">
        <v>B</v>
      </c>
      <c r="F152" s="135">
        <v>2</v>
      </c>
      <c r="G152" s="136" t="str">
        <v>B</v>
      </c>
      <c r="H152" s="135">
        <v>2</v>
      </c>
      <c r="I152" s="136" t="str">
        <v>B</v>
      </c>
    </row>
    <row r="153" spans="1:11" ht="15.75" thickTop="1" x14ac:dyDescent="0.2">
      <c r="D153" s="45"/>
      <c r="E153" s="45"/>
      <c r="F153" s="45"/>
      <c r="G153" s="45"/>
      <c r="H153" s="45"/>
    </row>
    <row r="154" spans="1:11" x14ac:dyDescent="0.2">
      <c r="D154" s="45"/>
      <c r="E154" s="45"/>
      <c r="F154" s="45"/>
      <c r="G154" s="45"/>
      <c r="H154" s="45"/>
    </row>
    <row r="155" spans="1:11" x14ac:dyDescent="0.2">
      <c r="D155" s="45"/>
      <c r="E155" s="45"/>
      <c r="F155" s="45"/>
      <c r="G155" s="45"/>
      <c r="H155" s="45"/>
    </row>
    <row r="156" spans="1:11" customFormat="1" ht="23.25" x14ac:dyDescent="0.2">
      <c r="A156" s="7" t="s">
        <v>6</v>
      </c>
      <c r="B156" s="12" t="s">
        <v>817</v>
      </c>
      <c r="C156" s="8"/>
      <c r="D156" s="8"/>
      <c r="E156" s="8"/>
      <c r="F156" s="8"/>
      <c r="G156" s="8"/>
      <c r="H156" s="8"/>
      <c r="I156" s="8"/>
      <c r="J156" s="8"/>
      <c r="K156" s="7"/>
    </row>
    <row r="157" spans="1:11" customFormat="1" ht="18" customHeight="1" x14ac:dyDescent="0.2">
      <c r="A157" s="7"/>
      <c r="B157" s="38" t="s">
        <v>163</v>
      </c>
      <c r="C157" s="7"/>
      <c r="D157" s="7"/>
      <c r="E157" s="7"/>
      <c r="F157" s="7"/>
      <c r="G157" s="7"/>
      <c r="H157" s="7"/>
      <c r="I157" s="7"/>
      <c r="J157" s="7"/>
      <c r="K157" s="7"/>
    </row>
    <row r="158" spans="1:11" x14ac:dyDescent="0.2">
      <c r="B158" s="41" t="s">
        <v>518</v>
      </c>
    </row>
    <row r="160" spans="1:11" x14ac:dyDescent="0.2">
      <c r="C160" s="7" t="s">
        <v>873</v>
      </c>
    </row>
    <row r="162" spans="3:12" x14ac:dyDescent="0.2">
      <c r="C162" s="39" t="s">
        <v>94</v>
      </c>
      <c r="D162" s="137" t="s">
        <v>89</v>
      </c>
      <c r="E162" s="138">
        <v>1</v>
      </c>
    </row>
    <row r="163" spans="3:12" x14ac:dyDescent="0.2">
      <c r="D163" s="140">
        <v>2</v>
      </c>
      <c r="E163" s="139" t="s">
        <v>90</v>
      </c>
    </row>
    <row r="165" spans="3:12" x14ac:dyDescent="0.2">
      <c r="C165" s="39" t="s">
        <v>653</v>
      </c>
      <c r="D165" s="42">
        <v>3</v>
      </c>
    </row>
    <row r="166" spans="3:12" x14ac:dyDescent="0.2">
      <c r="C166" s="39" t="s">
        <v>654</v>
      </c>
      <c r="D166" s="42">
        <v>2</v>
      </c>
    </row>
    <row r="168" spans="3:12" x14ac:dyDescent="0.2">
      <c r="C168" s="40" t="s">
        <v>164</v>
      </c>
      <c r="D168" s="141" t="str" cm="1">
        <f t="array" ref="D168:G173">L.REPELEM(D162:E163,D165,D166)</f>
        <v>A</v>
      </c>
      <c r="E168" s="141" t="str">
        <v>A</v>
      </c>
      <c r="F168" s="142">
        <v>1</v>
      </c>
      <c r="G168" s="142">
        <v>1</v>
      </c>
      <c r="H168" s="45"/>
      <c r="I168" s="45"/>
      <c r="J168" s="45"/>
      <c r="K168" s="45"/>
      <c r="L168" s="45"/>
    </row>
    <row r="169" spans="3:12" x14ac:dyDescent="0.2">
      <c r="D169" s="141" t="str">
        <v>A</v>
      </c>
      <c r="E169" s="141" t="str">
        <v>A</v>
      </c>
      <c r="F169" s="142">
        <v>1</v>
      </c>
      <c r="G169" s="142">
        <v>1</v>
      </c>
      <c r="H169" s="45"/>
      <c r="I169" s="45"/>
      <c r="J169" s="45"/>
      <c r="K169" s="45"/>
      <c r="L169" s="45"/>
    </row>
    <row r="170" spans="3:12" x14ac:dyDescent="0.2">
      <c r="D170" s="141" t="str">
        <v>A</v>
      </c>
      <c r="E170" s="141" t="str">
        <v>A</v>
      </c>
      <c r="F170" s="142">
        <v>1</v>
      </c>
      <c r="G170" s="142">
        <v>1</v>
      </c>
      <c r="H170" s="45"/>
      <c r="I170" s="45"/>
      <c r="J170" s="45"/>
    </row>
    <row r="171" spans="3:12" x14ac:dyDescent="0.2">
      <c r="D171" s="143">
        <v>2</v>
      </c>
      <c r="E171" s="143">
        <v>2</v>
      </c>
      <c r="F171" s="144" t="str">
        <v>B</v>
      </c>
      <c r="G171" s="144" t="str">
        <v>B</v>
      </c>
      <c r="H171" s="45"/>
      <c r="I171" s="45"/>
      <c r="J171" s="45"/>
    </row>
    <row r="172" spans="3:12" x14ac:dyDescent="0.2">
      <c r="D172" s="143">
        <v>2</v>
      </c>
      <c r="E172" s="143">
        <v>2</v>
      </c>
      <c r="F172" s="144" t="str">
        <v>B</v>
      </c>
      <c r="G172" s="144" t="str">
        <v>B</v>
      </c>
      <c r="H172" s="45"/>
    </row>
    <row r="173" spans="3:12" x14ac:dyDescent="0.2">
      <c r="D173" s="143">
        <v>2</v>
      </c>
      <c r="E173" s="143">
        <v>2</v>
      </c>
      <c r="F173" s="144" t="str">
        <v>B</v>
      </c>
      <c r="G173" s="144" t="str">
        <v>B</v>
      </c>
      <c r="H173" s="45"/>
    </row>
    <row r="174" spans="3:12" x14ac:dyDescent="0.2">
      <c r="D174" s="45"/>
      <c r="E174" s="45"/>
      <c r="F174" s="45"/>
      <c r="G174" s="45"/>
      <c r="H174" s="45"/>
    </row>
    <row r="175" spans="3:12" x14ac:dyDescent="0.2">
      <c r="D175" s="45"/>
      <c r="E175" s="45"/>
      <c r="F175" s="45"/>
      <c r="G175" s="45"/>
      <c r="H175" s="45"/>
    </row>
    <row r="176" spans="3:12" x14ac:dyDescent="0.2">
      <c r="C176" s="39" t="s">
        <v>653</v>
      </c>
      <c r="D176" s="45"/>
      <c r="E176" s="39" t="s">
        <v>654</v>
      </c>
      <c r="F176" s="42">
        <v>2</v>
      </c>
      <c r="G176" s="42">
        <v>3</v>
      </c>
      <c r="H176" s="45"/>
    </row>
    <row r="177" spans="3:14" x14ac:dyDescent="0.2">
      <c r="C177" s="42">
        <v>2</v>
      </c>
      <c r="D177" s="45"/>
      <c r="E177" s="45"/>
      <c r="F177" s="45"/>
      <c r="G177" s="45"/>
      <c r="H177" s="45"/>
    </row>
    <row r="178" spans="3:14" x14ac:dyDescent="0.2">
      <c r="C178" s="42">
        <v>1</v>
      </c>
      <c r="D178" s="45"/>
      <c r="E178" s="45"/>
      <c r="F178" s="45"/>
      <c r="G178" s="45"/>
      <c r="H178" s="45"/>
    </row>
    <row r="179" spans="3:14" x14ac:dyDescent="0.2">
      <c r="D179" s="45"/>
      <c r="E179" s="45"/>
      <c r="F179" s="45"/>
      <c r="G179" s="45"/>
      <c r="H179" s="45"/>
    </row>
    <row r="180" spans="3:14" x14ac:dyDescent="0.2">
      <c r="C180" s="40" t="s">
        <v>164</v>
      </c>
      <c r="D180" s="141" cm="1">
        <f t="array" ref="D180:H182">L.REPELEM(D172:E173,C177:C178,F176:G176)</f>
        <v>2</v>
      </c>
      <c r="E180" s="141">
        <v>2</v>
      </c>
      <c r="F180" s="142">
        <v>2</v>
      </c>
      <c r="G180" s="142">
        <v>2</v>
      </c>
      <c r="H180" s="142">
        <v>2</v>
      </c>
    </row>
    <row r="181" spans="3:14" x14ac:dyDescent="0.2">
      <c r="D181" s="141">
        <v>2</v>
      </c>
      <c r="E181" s="141">
        <v>2</v>
      </c>
      <c r="F181" s="142">
        <v>2</v>
      </c>
      <c r="G181" s="142">
        <v>2</v>
      </c>
      <c r="H181" s="142">
        <v>2</v>
      </c>
    </row>
    <row r="182" spans="3:14" x14ac:dyDescent="0.2">
      <c r="D182" s="143">
        <v>2</v>
      </c>
      <c r="E182" s="143">
        <v>2</v>
      </c>
      <c r="F182" s="144">
        <v>2</v>
      </c>
      <c r="G182" s="144">
        <v>2</v>
      </c>
      <c r="H182" s="144">
        <v>2</v>
      </c>
    </row>
    <row r="183" spans="3:14" x14ac:dyDescent="0.2">
      <c r="D183" s="45"/>
      <c r="E183" s="45"/>
      <c r="F183" s="45"/>
      <c r="G183" s="45"/>
      <c r="H183" s="45"/>
    </row>
    <row r="184" spans="3:14" x14ac:dyDescent="0.2">
      <c r="D184" s="45"/>
      <c r="E184" s="45"/>
      <c r="F184" s="45"/>
      <c r="G184" s="45"/>
      <c r="H184" s="45"/>
    </row>
    <row r="185" spans="3:14" x14ac:dyDescent="0.2">
      <c r="C185" s="7" t="s">
        <v>874</v>
      </c>
      <c r="D185" s="45"/>
      <c r="E185" s="45"/>
      <c r="F185" s="45"/>
      <c r="G185" s="45"/>
      <c r="H185" s="45"/>
      <c r="I185" s="45"/>
      <c r="J185" s="45"/>
      <c r="K185" s="45"/>
      <c r="L185" s="45"/>
      <c r="M185" s="45"/>
      <c r="N185" s="45"/>
    </row>
    <row r="186" spans="3:14" x14ac:dyDescent="0.2">
      <c r="D186" s="45"/>
      <c r="E186" s="45"/>
      <c r="F186" s="72"/>
      <c r="G186" s="45"/>
      <c r="H186" s="45"/>
      <c r="I186" s="45"/>
      <c r="J186" s="45"/>
      <c r="K186" s="45"/>
      <c r="L186" s="45"/>
      <c r="M186" s="45"/>
      <c r="N186" s="45"/>
    </row>
    <row r="187" spans="3:14" x14ac:dyDescent="0.2">
      <c r="C187" s="39" t="s">
        <v>864</v>
      </c>
      <c r="D187" s="39" t="s">
        <v>865</v>
      </c>
      <c r="F187" s="40" t="s">
        <v>164</v>
      </c>
      <c r="G187" s="45"/>
      <c r="H187" s="45"/>
      <c r="I187" s="45"/>
      <c r="J187" s="45"/>
      <c r="K187" s="45"/>
      <c r="L187" s="45"/>
      <c r="M187" s="45"/>
      <c r="N187" s="45"/>
    </row>
    <row r="188" spans="3:14" ht="18" x14ac:dyDescent="0.2">
      <c r="C188" s="162" t="s">
        <v>176</v>
      </c>
      <c r="D188" s="159">
        <v>3</v>
      </c>
      <c r="F188" s="163" t="str" cm="1">
        <f t="array" ref="F188:F197">L.REPELEM(C188:C193,D188:D193,1)</f>
        <v>⚀</v>
      </c>
      <c r="G188" s="45"/>
      <c r="H188" s="45"/>
      <c r="I188" s="45"/>
      <c r="J188" s="45"/>
      <c r="K188" s="45"/>
      <c r="L188" s="45"/>
      <c r="M188" s="45"/>
      <c r="N188" s="45"/>
    </row>
    <row r="189" spans="3:14" ht="18" x14ac:dyDescent="0.2">
      <c r="C189" s="171" t="s">
        <v>866</v>
      </c>
      <c r="D189" s="160">
        <v>1</v>
      </c>
      <c r="F189" s="163" t="str">
        <v>⚀</v>
      </c>
      <c r="G189" s="45"/>
      <c r="H189" s="45"/>
      <c r="I189" s="45"/>
      <c r="J189" s="45"/>
      <c r="K189" s="45"/>
      <c r="L189" s="45"/>
      <c r="M189" s="45"/>
      <c r="N189" s="45"/>
    </row>
    <row r="190" spans="3:14" ht="18" x14ac:dyDescent="0.2">
      <c r="C190" s="166" t="s">
        <v>867</v>
      </c>
      <c r="D190" s="167">
        <v>1</v>
      </c>
      <c r="F190" s="163" t="str">
        <v>⚀</v>
      </c>
      <c r="G190" s="45"/>
      <c r="H190" s="45"/>
      <c r="I190" s="45"/>
      <c r="J190" s="45"/>
      <c r="K190" s="45"/>
      <c r="L190" s="45"/>
      <c r="M190" s="45"/>
      <c r="N190" s="45"/>
    </row>
    <row r="191" spans="3:14" ht="18" x14ac:dyDescent="0.2">
      <c r="C191" s="168" t="s">
        <v>868</v>
      </c>
      <c r="D191" s="65">
        <v>0</v>
      </c>
      <c r="F191" s="172" t="str">
        <v>⚁</v>
      </c>
      <c r="G191" s="45"/>
      <c r="H191" s="45"/>
    </row>
    <row r="192" spans="3:14" ht="18" x14ac:dyDescent="0.2">
      <c r="C192" s="173" t="s">
        <v>869</v>
      </c>
      <c r="D192" s="174">
        <v>3</v>
      </c>
      <c r="F192" s="164" t="str">
        <v>⚂</v>
      </c>
      <c r="G192" s="45"/>
      <c r="H192" s="45"/>
    </row>
    <row r="193" spans="1:11" ht="18" x14ac:dyDescent="0.2">
      <c r="C193" s="169" t="s">
        <v>177</v>
      </c>
      <c r="D193" s="170">
        <v>2</v>
      </c>
      <c r="F193" s="175" t="str">
        <v>⚄</v>
      </c>
      <c r="G193" s="45"/>
      <c r="H193" s="45"/>
    </row>
    <row r="194" spans="1:11" ht="18" x14ac:dyDescent="0.2">
      <c r="F194" s="175" t="str">
        <v>⚄</v>
      </c>
      <c r="G194" s="45"/>
      <c r="H194" s="45"/>
    </row>
    <row r="195" spans="1:11" ht="18" x14ac:dyDescent="0.2">
      <c r="F195" s="175" t="str">
        <v>⚄</v>
      </c>
      <c r="G195" s="45"/>
      <c r="H195" s="45"/>
    </row>
    <row r="196" spans="1:11" ht="18" x14ac:dyDescent="0.2">
      <c r="F196" s="165" t="str">
        <v>⚅</v>
      </c>
      <c r="G196" s="45"/>
      <c r="H196" s="45"/>
    </row>
    <row r="197" spans="1:11" ht="18" x14ac:dyDescent="0.2">
      <c r="F197" s="165" t="str">
        <v>⚅</v>
      </c>
      <c r="G197" s="45"/>
      <c r="H197" s="45"/>
    </row>
    <row r="198" spans="1:11" x14ac:dyDescent="0.2">
      <c r="D198" s="45"/>
      <c r="E198" s="45"/>
      <c r="F198" s="45"/>
      <c r="G198" s="45"/>
      <c r="H198" s="45"/>
    </row>
    <row r="199" spans="1:11" x14ac:dyDescent="0.2">
      <c r="D199" s="45"/>
      <c r="E199" s="45"/>
      <c r="F199" s="45"/>
      <c r="G199" s="45"/>
      <c r="H199" s="45"/>
    </row>
    <row r="200" spans="1:11" x14ac:dyDescent="0.2">
      <c r="D200" s="45"/>
      <c r="E200" s="45"/>
      <c r="F200" s="45"/>
      <c r="G200" s="45"/>
      <c r="H200" s="45"/>
    </row>
    <row r="201" spans="1:11" x14ac:dyDescent="0.2">
      <c r="D201" s="45"/>
      <c r="E201" s="45"/>
      <c r="F201" s="45"/>
      <c r="G201" s="45"/>
      <c r="H201" s="45"/>
    </row>
    <row r="202" spans="1:11" customFormat="1" ht="23.25" x14ac:dyDescent="0.2">
      <c r="A202" s="7" t="s">
        <v>6</v>
      </c>
      <c r="B202" s="12" t="s">
        <v>816</v>
      </c>
      <c r="C202" s="8"/>
      <c r="D202" s="8"/>
      <c r="E202" s="8"/>
      <c r="F202" s="8"/>
      <c r="G202" s="8"/>
      <c r="H202" s="8"/>
      <c r="I202" s="8"/>
      <c r="J202" s="8"/>
      <c r="K202" s="7"/>
    </row>
    <row r="203" spans="1:11" customFormat="1" ht="18" customHeight="1" x14ac:dyDescent="0.2">
      <c r="A203" s="7"/>
      <c r="B203" s="38" t="s">
        <v>405</v>
      </c>
      <c r="C203" s="7"/>
      <c r="D203" s="7"/>
      <c r="E203" s="7"/>
      <c r="F203" s="7"/>
      <c r="G203" s="7"/>
      <c r="H203" s="7"/>
      <c r="I203" s="7"/>
      <c r="J203" s="7"/>
      <c r="K203" s="7"/>
    </row>
    <row r="204" spans="1:11" x14ac:dyDescent="0.2">
      <c r="B204" s="41" t="s">
        <v>519</v>
      </c>
    </row>
    <row r="205" spans="1:11" x14ac:dyDescent="0.2">
      <c r="D205" s="45"/>
      <c r="E205" s="45"/>
      <c r="F205" s="45"/>
      <c r="G205" s="45"/>
      <c r="H205" s="45"/>
    </row>
    <row r="206" spans="1:11" x14ac:dyDescent="0.2">
      <c r="C206" s="112" t="s">
        <v>406</v>
      </c>
      <c r="D206" s="39"/>
      <c r="E206" s="39"/>
      <c r="F206" s="39"/>
      <c r="G206" s="39"/>
      <c r="I206" s="39" t="s">
        <v>407</v>
      </c>
      <c r="J206" s="39" t="s">
        <v>408</v>
      </c>
    </row>
    <row r="207" spans="1:11" x14ac:dyDescent="0.2">
      <c r="C207" s="42" t="str" cm="1">
        <f t="array" ref="C207:G211">{"A","B","C","D","E"}&amp;{1;2;3;4;5}</f>
        <v>A1</v>
      </c>
      <c r="D207" s="138" t="str">
        <v>B1</v>
      </c>
      <c r="E207" s="138" t="str">
        <v>C1</v>
      </c>
      <c r="F207" s="138" t="str">
        <v>D1</v>
      </c>
      <c r="G207" s="42" t="str">
        <v>E1</v>
      </c>
      <c r="H207" s="16" t="s">
        <v>173</v>
      </c>
      <c r="I207" s="42">
        <v>1</v>
      </c>
      <c r="J207" s="42">
        <v>-4</v>
      </c>
    </row>
    <row r="208" spans="1:11" x14ac:dyDescent="0.2">
      <c r="C208" s="42" t="str">
        <v>A2</v>
      </c>
      <c r="D208" s="138" t="str">
        <v>B2</v>
      </c>
      <c r="E208" s="138" t="str">
        <v>C2</v>
      </c>
      <c r="F208" s="138" t="str">
        <v>D2</v>
      </c>
      <c r="G208" s="42" t="str">
        <v>E2</v>
      </c>
      <c r="H208" s="16" t="s">
        <v>174</v>
      </c>
      <c r="I208" s="42">
        <v>3</v>
      </c>
      <c r="J208" s="42">
        <v>-2</v>
      </c>
    </row>
    <row r="209" spans="1:12" x14ac:dyDescent="0.2">
      <c r="C209" s="42" t="str">
        <v>A3</v>
      </c>
      <c r="D209" s="138" t="str">
        <v>B3</v>
      </c>
      <c r="E209" s="138" t="str">
        <v>C3</v>
      </c>
      <c r="F209" s="138" t="str">
        <v>D3</v>
      </c>
      <c r="G209" s="42" t="str">
        <v>E3</v>
      </c>
    </row>
    <row r="210" spans="1:12" x14ac:dyDescent="0.2">
      <c r="C210" s="42" t="str">
        <v>A4</v>
      </c>
      <c r="D210" s="42" t="str">
        <v>B4</v>
      </c>
      <c r="E210" s="42" t="str">
        <v>C4</v>
      </c>
      <c r="F210" s="42" t="str">
        <v>D4</v>
      </c>
      <c r="G210" s="42" t="str">
        <v>E4</v>
      </c>
    </row>
    <row r="211" spans="1:12" x14ac:dyDescent="0.2">
      <c r="C211" s="42" t="str">
        <v>A5</v>
      </c>
      <c r="D211" s="42" t="str">
        <v>B5</v>
      </c>
      <c r="E211" s="42" t="str">
        <v>C5</v>
      </c>
      <c r="F211" s="42" t="str">
        <v>D5</v>
      </c>
      <c r="G211" s="42" t="str">
        <v>E5</v>
      </c>
    </row>
    <row r="212" spans="1:12" x14ac:dyDescent="0.2">
      <c r="D212" s="45"/>
      <c r="E212" s="45"/>
      <c r="F212" s="45"/>
      <c r="G212" s="45"/>
      <c r="H212" s="45"/>
    </row>
    <row r="213" spans="1:12" x14ac:dyDescent="0.2">
      <c r="C213" s="56" t="s">
        <v>97</v>
      </c>
      <c r="H213" s="45"/>
    </row>
    <row r="214" spans="1:12" x14ac:dyDescent="0.2">
      <c r="C214" s="146" t="str" cm="1">
        <f t="array" ref="C214:E216">L.SLICE(_xlfn.ANCHORARRAY(C207),I207,I208,J207,J208)</f>
        <v>B1</v>
      </c>
      <c r="D214" s="146" t="str">
        <v>C1</v>
      </c>
      <c r="E214" s="146" t="str">
        <v>D1</v>
      </c>
      <c r="F214" s="45"/>
      <c r="G214" s="45"/>
      <c r="H214" s="45"/>
    </row>
    <row r="215" spans="1:12" x14ac:dyDescent="0.2">
      <c r="C215" s="146" t="str">
        <v>B2</v>
      </c>
      <c r="D215" s="146" t="str">
        <v>C2</v>
      </c>
      <c r="E215" s="146" t="str">
        <v>D2</v>
      </c>
      <c r="F215" s="45"/>
      <c r="G215" s="45"/>
      <c r="H215" s="45"/>
    </row>
    <row r="216" spans="1:12" x14ac:dyDescent="0.2">
      <c r="C216" s="146" t="str">
        <v>B3</v>
      </c>
      <c r="D216" s="146" t="str">
        <v>C3</v>
      </c>
      <c r="E216" s="146" t="str">
        <v>D3</v>
      </c>
      <c r="F216" s="45"/>
      <c r="G216" s="45"/>
      <c r="H216" s="45"/>
    </row>
    <row r="217" spans="1:12" x14ac:dyDescent="0.2">
      <c r="C217" s="45"/>
      <c r="D217" s="45"/>
      <c r="E217" s="45"/>
      <c r="F217" s="45"/>
      <c r="G217" s="45"/>
      <c r="H217" s="45"/>
    </row>
    <row r="218" spans="1:12" x14ac:dyDescent="0.2">
      <c r="C218" s="45"/>
      <c r="D218" s="45"/>
      <c r="E218" s="45"/>
      <c r="F218" s="45"/>
      <c r="G218" s="45"/>
      <c r="H218" s="45"/>
    </row>
    <row r="219" spans="1:12" x14ac:dyDescent="0.2">
      <c r="D219" s="45"/>
      <c r="E219" s="45"/>
      <c r="F219" s="45"/>
      <c r="G219" s="45"/>
      <c r="H219" s="45"/>
    </row>
    <row r="220" spans="1:12" customFormat="1" ht="23.25" x14ac:dyDescent="0.2">
      <c r="A220" s="7" t="s">
        <v>6</v>
      </c>
      <c r="B220" s="12" t="s">
        <v>815</v>
      </c>
      <c r="C220" s="8"/>
      <c r="D220" s="8"/>
      <c r="E220" s="8"/>
      <c r="F220" s="8"/>
      <c r="G220" s="8"/>
      <c r="H220" s="8"/>
      <c r="I220" s="8"/>
      <c r="J220" s="8"/>
      <c r="K220" s="7"/>
    </row>
    <row r="221" spans="1:12" customFormat="1" ht="18" customHeight="1" x14ac:dyDescent="0.2">
      <c r="A221" s="7"/>
      <c r="B221" s="38" t="s">
        <v>414</v>
      </c>
      <c r="C221" s="7"/>
      <c r="D221" s="7"/>
      <c r="E221" s="7"/>
      <c r="F221" s="7"/>
      <c r="G221" s="7"/>
      <c r="H221" s="7"/>
      <c r="I221" s="7"/>
      <c r="J221" s="7"/>
      <c r="K221" s="7"/>
    </row>
    <row r="222" spans="1:12" x14ac:dyDescent="0.2">
      <c r="B222" s="41" t="s">
        <v>520</v>
      </c>
    </row>
    <row r="223" spans="1:12" x14ac:dyDescent="0.2">
      <c r="D223" s="45"/>
      <c r="E223" s="45"/>
      <c r="F223" s="45"/>
      <c r="G223" s="45"/>
      <c r="H223" s="45"/>
    </row>
    <row r="224" spans="1:12" x14ac:dyDescent="0.2">
      <c r="C224" s="112" t="s">
        <v>406</v>
      </c>
      <c r="D224" s="39"/>
      <c r="E224" s="39"/>
      <c r="F224" s="39"/>
      <c r="G224" s="39"/>
      <c r="I224" s="112" t="s">
        <v>409</v>
      </c>
      <c r="J224" s="39"/>
      <c r="L224" s="112" t="s">
        <v>410</v>
      </c>
    </row>
    <row r="225" spans="3:12" x14ac:dyDescent="0.2">
      <c r="C225" s="42" t="str" cm="1">
        <f t="array" ref="C225:G229">{"A","B","C","D","E"}&amp;{1;2;3;4;5}</f>
        <v>A1</v>
      </c>
      <c r="D225" s="42" t="str">
        <v>B1</v>
      </c>
      <c r="E225" s="42" t="str">
        <v>C1</v>
      </c>
      <c r="F225" s="42" t="str">
        <v>D1</v>
      </c>
      <c r="G225" s="42" t="str">
        <v>E1</v>
      </c>
      <c r="I225" s="42" t="s">
        <v>328</v>
      </c>
      <c r="J225" s="42" t="s">
        <v>351</v>
      </c>
      <c r="L225" s="42">
        <v>2</v>
      </c>
    </row>
    <row r="226" spans="3:12" x14ac:dyDescent="0.2">
      <c r="C226" s="42" t="str">
        <v>A2</v>
      </c>
      <c r="D226" s="42" t="str">
        <v>B2</v>
      </c>
      <c r="E226" s="42" t="str">
        <v>C2</v>
      </c>
      <c r="F226" s="42" t="str">
        <v>D2</v>
      </c>
      <c r="G226" s="42" t="str">
        <v>E2</v>
      </c>
      <c r="I226" s="42" t="s">
        <v>328</v>
      </c>
      <c r="J226" s="42" t="s">
        <v>351</v>
      </c>
    </row>
    <row r="227" spans="3:12" x14ac:dyDescent="0.2">
      <c r="C227" s="42" t="str">
        <v>A3</v>
      </c>
      <c r="D227" s="42" t="str">
        <v>B3</v>
      </c>
      <c r="E227" s="42" t="str">
        <v>C3</v>
      </c>
      <c r="F227" s="42" t="str">
        <v>D3</v>
      </c>
      <c r="G227" s="42" t="str">
        <v>E3</v>
      </c>
      <c r="I227" s="42" t="s">
        <v>328</v>
      </c>
      <c r="J227" s="42" t="s">
        <v>351</v>
      </c>
      <c r="L227" s="112" t="s">
        <v>411</v>
      </c>
    </row>
    <row r="228" spans="3:12" x14ac:dyDescent="0.2">
      <c r="C228" s="42" t="str">
        <v>A4</v>
      </c>
      <c r="D228" s="42" t="str">
        <v>B4</v>
      </c>
      <c r="E228" s="42" t="str">
        <v>C4</v>
      </c>
      <c r="F228" s="42" t="str">
        <v>D4</v>
      </c>
      <c r="G228" s="42" t="str">
        <v>E4</v>
      </c>
      <c r="I228" s="42" t="s">
        <v>328</v>
      </c>
      <c r="J228" s="42" t="s">
        <v>351</v>
      </c>
      <c r="L228" s="42">
        <v>1</v>
      </c>
    </row>
    <row r="229" spans="3:12" x14ac:dyDescent="0.2">
      <c r="C229" s="42" t="str">
        <v>A5</v>
      </c>
      <c r="D229" s="42" t="str">
        <v>B5</v>
      </c>
      <c r="E229" s="42" t="str">
        <v>C5</v>
      </c>
      <c r="F229" s="42" t="str">
        <v>D5</v>
      </c>
      <c r="G229" s="42" t="str">
        <v>E5</v>
      </c>
      <c r="I229" s="42" t="s">
        <v>328</v>
      </c>
      <c r="J229" s="42" t="s">
        <v>351</v>
      </c>
    </row>
    <row r="230" spans="3:12" x14ac:dyDescent="0.2">
      <c r="L230" s="112" t="s">
        <v>412</v>
      </c>
    </row>
    <row r="231" spans="3:12" x14ac:dyDescent="0.2">
      <c r="C231" s="112" t="s">
        <v>409</v>
      </c>
      <c r="D231" s="39"/>
      <c r="E231" s="39"/>
      <c r="F231" s="39"/>
      <c r="G231" s="39"/>
      <c r="L231" s="42" t="b">
        <v>0</v>
      </c>
    </row>
    <row r="232" spans="3:12" x14ac:dyDescent="0.2">
      <c r="C232" s="42" t="str" cm="1">
        <f t="array" ref="C232:G233">TRANSPOSE(I225:J229)</f>
        <v>x</v>
      </c>
      <c r="D232" s="42" t="str">
        <v>x</v>
      </c>
      <c r="E232" s="42" t="str">
        <v>x</v>
      </c>
      <c r="F232" s="42" t="str">
        <v>x</v>
      </c>
      <c r="G232" s="42" t="str">
        <v>x</v>
      </c>
    </row>
    <row r="233" spans="3:12" x14ac:dyDescent="0.2">
      <c r="C233" s="42" t="str">
        <v>y</v>
      </c>
      <c r="D233" s="42" t="str">
        <v>y</v>
      </c>
      <c r="E233" s="42" t="str">
        <v>y</v>
      </c>
      <c r="F233" s="42" t="str">
        <v>y</v>
      </c>
      <c r="G233" s="42" t="str">
        <v>y</v>
      </c>
      <c r="I233" s="7" t="str">
        <f>""</f>
        <v/>
      </c>
      <c r="J233" s="7" t="str">
        <f>""</f>
        <v/>
      </c>
    </row>
    <row r="234" spans="3:12" x14ac:dyDescent="0.2">
      <c r="K234" s="45"/>
      <c r="L234" s="45"/>
    </row>
    <row r="235" spans="3:12" x14ac:dyDescent="0.2">
      <c r="C235" s="56" t="s">
        <v>413</v>
      </c>
      <c r="K235" s="45"/>
      <c r="L235" s="45"/>
    </row>
    <row r="236" spans="3:12" x14ac:dyDescent="0.2">
      <c r="C236" s="45" t="str" cm="1">
        <f t="array" ref="C236:G241">L.SPLICE(_xlfn.ANCHORARRAY(C225),L225,L228,_xlfn.ANCHORARRAY(C232),L231)</f>
        <v>A1</v>
      </c>
      <c r="D236" s="45" t="str">
        <v>B1</v>
      </c>
      <c r="E236" s="45" t="str">
        <v>C1</v>
      </c>
      <c r="F236" s="45" t="str">
        <v>D1</v>
      </c>
      <c r="G236" s="45" t="str">
        <v>E1</v>
      </c>
      <c r="H236" s="45"/>
      <c r="I236" s="45"/>
      <c r="J236" s="45"/>
      <c r="K236" s="45"/>
      <c r="L236" s="45"/>
    </row>
    <row r="237" spans="3:12" x14ac:dyDescent="0.2">
      <c r="C237" s="45" t="str">
        <v>x</v>
      </c>
      <c r="D237" s="45" t="str">
        <v>x</v>
      </c>
      <c r="E237" s="45" t="str">
        <v>x</v>
      </c>
      <c r="F237" s="45" t="str">
        <v>x</v>
      </c>
      <c r="G237" s="45" t="str">
        <v>x</v>
      </c>
      <c r="H237" s="45"/>
      <c r="I237" s="45"/>
      <c r="J237" s="45"/>
      <c r="K237" s="45"/>
      <c r="L237" s="45"/>
    </row>
    <row r="238" spans="3:12" x14ac:dyDescent="0.2">
      <c r="C238" s="45" t="str">
        <v>y</v>
      </c>
      <c r="D238" s="45" t="str">
        <v>y</v>
      </c>
      <c r="E238" s="45" t="str">
        <v>y</v>
      </c>
      <c r="F238" s="45" t="str">
        <v>y</v>
      </c>
      <c r="G238" s="45" t="str">
        <v>y</v>
      </c>
      <c r="H238" s="45"/>
      <c r="I238" s="45"/>
      <c r="J238" s="45"/>
      <c r="K238" s="45"/>
      <c r="L238" s="45"/>
    </row>
    <row r="239" spans="3:12" x14ac:dyDescent="0.2">
      <c r="C239" s="45" t="str">
        <v>A3</v>
      </c>
      <c r="D239" s="45" t="str">
        <v>B3</v>
      </c>
      <c r="E239" s="45" t="str">
        <v>C3</v>
      </c>
      <c r="F239" s="45" t="str">
        <v>D3</v>
      </c>
      <c r="G239" s="45" t="str">
        <v>E3</v>
      </c>
      <c r="H239" s="45"/>
      <c r="I239" s="45"/>
      <c r="J239" s="45"/>
      <c r="K239" s="45"/>
      <c r="L239" s="45"/>
    </row>
    <row r="240" spans="3:12" x14ac:dyDescent="0.2">
      <c r="C240" s="45" t="str">
        <v>A4</v>
      </c>
      <c r="D240" s="45" t="str">
        <v>B4</v>
      </c>
      <c r="E240" s="45" t="str">
        <v>C4</v>
      </c>
      <c r="F240" s="45" t="str">
        <v>D4</v>
      </c>
      <c r="G240" s="45" t="str">
        <v>E4</v>
      </c>
      <c r="H240" s="45"/>
      <c r="I240" s="45"/>
      <c r="J240" s="45"/>
      <c r="K240" s="45"/>
      <c r="L240" s="45"/>
    </row>
    <row r="241" spans="1:12" x14ac:dyDescent="0.2">
      <c r="C241" s="45" t="str">
        <v>A5</v>
      </c>
      <c r="D241" s="45" t="str">
        <v>B5</v>
      </c>
      <c r="E241" s="45" t="str">
        <v>C5</v>
      </c>
      <c r="F241" s="45" t="str">
        <v>D5</v>
      </c>
      <c r="G241" s="45" t="str">
        <v>E5</v>
      </c>
      <c r="H241" s="45"/>
      <c r="I241" s="45"/>
      <c r="J241" s="45"/>
      <c r="K241" s="45"/>
      <c r="L241" s="45"/>
    </row>
    <row r="242" spans="1:12" x14ac:dyDescent="0.2">
      <c r="C242" s="45"/>
      <c r="D242" s="45"/>
      <c r="E242" s="45"/>
      <c r="F242" s="45"/>
      <c r="G242" s="45"/>
      <c r="H242" s="45"/>
      <c r="I242" s="45"/>
      <c r="J242" s="45"/>
      <c r="K242" s="45"/>
      <c r="L242" s="45"/>
    </row>
    <row r="243" spans="1:12" x14ac:dyDescent="0.2">
      <c r="C243" s="45"/>
      <c r="D243" s="45"/>
      <c r="E243" s="45"/>
      <c r="F243" s="45"/>
      <c r="G243" s="45"/>
      <c r="H243" s="45"/>
      <c r="I243" s="45"/>
    </row>
    <row r="244" spans="1:12" customFormat="1" ht="23.25" x14ac:dyDescent="0.2">
      <c r="A244" s="7" t="s">
        <v>6</v>
      </c>
      <c r="B244" s="12" t="s">
        <v>814</v>
      </c>
      <c r="C244" s="8"/>
      <c r="D244" s="8"/>
      <c r="E244" s="8"/>
      <c r="F244" s="8"/>
      <c r="G244" s="8"/>
      <c r="H244" s="8"/>
      <c r="I244" s="8"/>
      <c r="J244" s="8"/>
      <c r="K244" s="7"/>
    </row>
    <row r="245" spans="1:12" customFormat="1" ht="18" customHeight="1" x14ac:dyDescent="0.2">
      <c r="A245" s="7"/>
      <c r="B245" s="38" t="s">
        <v>401</v>
      </c>
      <c r="C245" s="7"/>
      <c r="D245" s="7"/>
      <c r="E245" s="7"/>
      <c r="F245" s="7"/>
      <c r="G245" s="7"/>
      <c r="H245" s="7"/>
      <c r="I245" s="7"/>
      <c r="J245" s="7"/>
      <c r="K245" s="7"/>
    </row>
    <row r="246" spans="1:12" x14ac:dyDescent="0.2">
      <c r="B246" s="41" t="s">
        <v>521</v>
      </c>
    </row>
    <row r="248" spans="1:12" x14ac:dyDescent="0.2">
      <c r="C248" s="112" t="s">
        <v>94</v>
      </c>
      <c r="D248" s="39"/>
      <c r="E248" s="39"/>
      <c r="F248" s="39"/>
      <c r="G248" s="39"/>
      <c r="I248" s="112" t="s">
        <v>402</v>
      </c>
      <c r="J248" s="112"/>
      <c r="K248"/>
    </row>
    <row r="249" spans="1:12" x14ac:dyDescent="0.2">
      <c r="C249" s="42">
        <v>0</v>
      </c>
      <c r="D249" s="42">
        <v>0</v>
      </c>
      <c r="E249" s="42">
        <v>0</v>
      </c>
      <c r="F249" s="42">
        <v>0</v>
      </c>
      <c r="G249" s="42">
        <v>0</v>
      </c>
      <c r="I249" s="113">
        <v>1</v>
      </c>
      <c r="J249" s="113">
        <v>2</v>
      </c>
      <c r="K249"/>
    </row>
    <row r="250" spans="1:12" x14ac:dyDescent="0.2">
      <c r="C250" s="42">
        <v>0</v>
      </c>
      <c r="D250" s="42">
        <v>0</v>
      </c>
      <c r="E250" s="42">
        <v>0</v>
      </c>
      <c r="F250" s="138">
        <v>0</v>
      </c>
      <c r="G250" s="138">
        <v>0</v>
      </c>
      <c r="I250" s="113">
        <v>3</v>
      </c>
      <c r="J250" s="113">
        <v>4</v>
      </c>
      <c r="K250"/>
    </row>
    <row r="251" spans="1:12" x14ac:dyDescent="0.2">
      <c r="C251" s="42">
        <v>0</v>
      </c>
      <c r="D251" s="42">
        <v>0</v>
      </c>
      <c r="E251" s="42">
        <v>0</v>
      </c>
      <c r="F251" s="138">
        <v>0</v>
      </c>
      <c r="G251" s="138">
        <v>0</v>
      </c>
      <c r="J251"/>
      <c r="K251"/>
    </row>
    <row r="252" spans="1:12" x14ac:dyDescent="0.2">
      <c r="C252" s="42">
        <v>0</v>
      </c>
      <c r="D252" s="42">
        <v>0</v>
      </c>
      <c r="E252" s="42">
        <v>0</v>
      </c>
      <c r="F252" s="42">
        <v>0</v>
      </c>
      <c r="G252" s="42">
        <v>0</v>
      </c>
      <c r="I252" s="112" t="s">
        <v>403</v>
      </c>
      <c r="J252" s="42">
        <v>2</v>
      </c>
      <c r="K252"/>
    </row>
    <row r="253" spans="1:12" x14ac:dyDescent="0.2">
      <c r="C253" s="42">
        <v>0</v>
      </c>
      <c r="D253" s="42">
        <v>0</v>
      </c>
      <c r="E253" s="42">
        <v>0</v>
      </c>
      <c r="F253" s="42">
        <v>0</v>
      </c>
      <c r="G253" s="42">
        <v>0</v>
      </c>
      <c r="I253" s="112" t="s">
        <v>404</v>
      </c>
      <c r="J253" s="42">
        <v>4</v>
      </c>
      <c r="K253"/>
    </row>
    <row r="254" spans="1:12" x14ac:dyDescent="0.2">
      <c r="J254"/>
      <c r="K254"/>
    </row>
    <row r="255" spans="1:12" x14ac:dyDescent="0.2">
      <c r="C255" s="40" t="s">
        <v>97</v>
      </c>
      <c r="J255"/>
      <c r="K255"/>
    </row>
    <row r="256" spans="1:12" x14ac:dyDescent="0.2">
      <c r="C256" s="45" cm="1">
        <f t="array" ref="C256:G260">L.REPLACEBLOCK(C249:G253,J252,J253,I249:J250)</f>
        <v>0</v>
      </c>
      <c r="D256" s="45">
        <v>0</v>
      </c>
      <c r="E256" s="45">
        <v>0</v>
      </c>
      <c r="F256" s="45">
        <v>0</v>
      </c>
      <c r="G256" s="45">
        <v>0</v>
      </c>
      <c r="J256"/>
      <c r="K256"/>
    </row>
    <row r="257" spans="1:11" x14ac:dyDescent="0.2">
      <c r="C257" s="45">
        <v>0</v>
      </c>
      <c r="D257" s="45">
        <v>0</v>
      </c>
      <c r="E257" s="45">
        <v>0</v>
      </c>
      <c r="F257" s="147">
        <v>1</v>
      </c>
      <c r="G257" s="147">
        <v>2</v>
      </c>
      <c r="J257"/>
      <c r="K257"/>
    </row>
    <row r="258" spans="1:11" x14ac:dyDescent="0.2">
      <c r="C258" s="45">
        <v>0</v>
      </c>
      <c r="D258" s="45">
        <v>0</v>
      </c>
      <c r="E258" s="45">
        <v>0</v>
      </c>
      <c r="F258" s="147">
        <v>3</v>
      </c>
      <c r="G258" s="147">
        <v>4</v>
      </c>
      <c r="J258"/>
      <c r="K258"/>
    </row>
    <row r="259" spans="1:11" x14ac:dyDescent="0.2">
      <c r="C259" s="45">
        <v>0</v>
      </c>
      <c r="D259" s="45">
        <v>0</v>
      </c>
      <c r="E259" s="45">
        <v>0</v>
      </c>
      <c r="F259" s="45">
        <v>0</v>
      </c>
      <c r="G259" s="45">
        <v>0</v>
      </c>
      <c r="J259"/>
      <c r="K259"/>
    </row>
    <row r="260" spans="1:11" x14ac:dyDescent="0.2">
      <c r="C260" s="45">
        <v>0</v>
      </c>
      <c r="D260" s="45">
        <v>0</v>
      </c>
      <c r="E260" s="45">
        <v>0</v>
      </c>
      <c r="F260" s="45">
        <v>0</v>
      </c>
      <c r="G260" s="45">
        <v>0</v>
      </c>
      <c r="J260"/>
      <c r="K260"/>
    </row>
    <row r="261" spans="1:11" x14ac:dyDescent="0.2">
      <c r="E261" s="45"/>
      <c r="F261" s="45"/>
      <c r="G261" s="45"/>
      <c r="H261" s="45"/>
      <c r="I261" s="45"/>
    </row>
    <row r="262" spans="1:11" x14ac:dyDescent="0.2">
      <c r="D262" s="45"/>
      <c r="E262" s="45"/>
      <c r="F262" s="45"/>
      <c r="G262" s="45"/>
      <c r="H262" s="45"/>
    </row>
    <row r="263" spans="1:11" x14ac:dyDescent="0.2">
      <c r="D263" s="45"/>
      <c r="E263" s="45"/>
      <c r="F263" s="45"/>
      <c r="G263" s="45"/>
      <c r="H263" s="45"/>
    </row>
    <row r="264" spans="1:11" customFormat="1" ht="23.25" x14ac:dyDescent="0.2">
      <c r="A264" s="7" t="s">
        <v>6</v>
      </c>
      <c r="B264" s="12" t="s">
        <v>889</v>
      </c>
      <c r="C264" s="8"/>
      <c r="D264" s="8"/>
      <c r="E264" s="8"/>
      <c r="F264" s="8"/>
      <c r="G264" s="8"/>
      <c r="H264" s="8"/>
      <c r="I264" s="8"/>
      <c r="J264" s="8"/>
      <c r="K264" s="7"/>
    </row>
    <row r="265" spans="1:11" customFormat="1" ht="18" customHeight="1" x14ac:dyDescent="0.2">
      <c r="A265" s="7"/>
      <c r="B265" s="38" t="s">
        <v>165</v>
      </c>
      <c r="C265" s="7"/>
      <c r="D265" s="7"/>
      <c r="E265" s="7"/>
      <c r="F265" s="7"/>
      <c r="G265" s="7"/>
      <c r="H265" s="7"/>
      <c r="I265" s="7"/>
      <c r="J265" s="7"/>
      <c r="K265" s="7"/>
    </row>
    <row r="266" spans="1:11" x14ac:dyDescent="0.2">
      <c r="B266" s="41" t="s">
        <v>522</v>
      </c>
    </row>
    <row r="268" spans="1:11" x14ac:dyDescent="0.2">
      <c r="C268" s="39" t="s">
        <v>166</v>
      </c>
      <c r="E268" s="39" t="s">
        <v>147</v>
      </c>
      <c r="F268"/>
      <c r="G268" s="39" t="s">
        <v>151</v>
      </c>
    </row>
    <row r="269" spans="1:11" x14ac:dyDescent="0.2">
      <c r="C269" s="42" t="s">
        <v>89</v>
      </c>
      <c r="E269" s="65" t="s">
        <v>167</v>
      </c>
      <c r="F269"/>
      <c r="G269" s="106">
        <v>1</v>
      </c>
    </row>
    <row r="270" spans="1:11" x14ac:dyDescent="0.2">
      <c r="C270" s="42" t="s">
        <v>90</v>
      </c>
      <c r="E270" s="65" t="s">
        <v>168</v>
      </c>
      <c r="F270"/>
      <c r="G270" s="106">
        <v>2</v>
      </c>
    </row>
    <row r="271" spans="1:11" x14ac:dyDescent="0.2">
      <c r="C271" s="42" t="s">
        <v>91</v>
      </c>
      <c r="E271"/>
      <c r="G271" s="106">
        <v>3</v>
      </c>
    </row>
    <row r="273" spans="3:8" x14ac:dyDescent="0.2">
      <c r="C273" s="66" t="s">
        <v>171</v>
      </c>
      <c r="D273" s="67"/>
      <c r="E273"/>
      <c r="F273" s="70" t="s">
        <v>172</v>
      </c>
    </row>
    <row r="274" spans="3:8" x14ac:dyDescent="0.2">
      <c r="C274" s="56" t="s">
        <v>169</v>
      </c>
      <c r="D274" s="68"/>
      <c r="E274"/>
      <c r="F274" s="56" t="s">
        <v>170</v>
      </c>
      <c r="G274" s="40"/>
      <c r="H274" s="40"/>
    </row>
    <row r="275" spans="3:8" x14ac:dyDescent="0.2">
      <c r="C275" s="152" t="s">
        <v>89</v>
      </c>
      <c r="D275" s="152" t="s">
        <v>167</v>
      </c>
      <c r="E275"/>
      <c r="F275" s="146" t="str" cm="1">
        <f t="array" ref="F275:H292">L.COMBINATIONS(L.COMBINATIONS(C269:C271,E269:E270),G269:G271)</f>
        <v>A</v>
      </c>
      <c r="G275" s="146" t="str">
        <v>q</v>
      </c>
      <c r="H275" s="153">
        <v>1</v>
      </c>
    </row>
    <row r="276" spans="3:8" x14ac:dyDescent="0.2">
      <c r="C276" s="69" t="s">
        <v>89</v>
      </c>
      <c r="D276" s="69" t="s">
        <v>168</v>
      </c>
      <c r="E276"/>
      <c r="F276" s="146" t="str">
        <v>A</v>
      </c>
      <c r="G276" s="146" t="str">
        <v>q</v>
      </c>
      <c r="H276" s="153">
        <v>2</v>
      </c>
    </row>
    <row r="277" spans="3:8" x14ac:dyDescent="0.2">
      <c r="C277" s="69" t="s">
        <v>90</v>
      </c>
      <c r="D277" s="69" t="s">
        <v>167</v>
      </c>
      <c r="E277"/>
      <c r="F277" s="146" t="str">
        <v>A</v>
      </c>
      <c r="G277" s="146" t="str">
        <v>q</v>
      </c>
      <c r="H277" s="153">
        <v>3</v>
      </c>
    </row>
    <row r="278" spans="3:8" x14ac:dyDescent="0.2">
      <c r="C278" s="69" t="s">
        <v>90</v>
      </c>
      <c r="D278" s="69" t="s">
        <v>168</v>
      </c>
      <c r="E278"/>
      <c r="F278" s="45" t="str">
        <v>A</v>
      </c>
      <c r="G278" s="45" t="str">
        <v>w</v>
      </c>
      <c r="H278" s="45">
        <v>1</v>
      </c>
    </row>
    <row r="279" spans="3:8" x14ac:dyDescent="0.2">
      <c r="C279" s="69" t="s">
        <v>91</v>
      </c>
      <c r="D279" s="69" t="s">
        <v>167</v>
      </c>
      <c r="E279"/>
      <c r="F279" s="45" t="str">
        <v>A</v>
      </c>
      <c r="G279" s="45" t="str">
        <v>w</v>
      </c>
      <c r="H279" s="45">
        <v>2</v>
      </c>
    </row>
    <row r="280" spans="3:8" x14ac:dyDescent="0.2">
      <c r="C280" s="69" t="s">
        <v>91</v>
      </c>
      <c r="D280" s="69" t="s">
        <v>168</v>
      </c>
      <c r="E280"/>
      <c r="F280" s="45" t="str">
        <v>A</v>
      </c>
      <c r="G280" s="45" t="str">
        <v>w</v>
      </c>
      <c r="H280" s="45">
        <v>3</v>
      </c>
    </row>
    <row r="281" spans="3:8" x14ac:dyDescent="0.2">
      <c r="C281"/>
      <c r="D281"/>
      <c r="E281"/>
      <c r="F281" s="45" t="str">
        <v>B</v>
      </c>
      <c r="G281" s="45" t="str">
        <v>q</v>
      </c>
      <c r="H281" s="45">
        <v>1</v>
      </c>
    </row>
    <row r="282" spans="3:8" x14ac:dyDescent="0.2">
      <c r="F282" s="45" t="str">
        <v>B</v>
      </c>
      <c r="G282" s="45" t="str">
        <v>q</v>
      </c>
      <c r="H282" s="45">
        <v>2</v>
      </c>
    </row>
    <row r="283" spans="3:8" x14ac:dyDescent="0.2">
      <c r="F283" s="45" t="str">
        <v>B</v>
      </c>
      <c r="G283" s="45" t="str">
        <v>q</v>
      </c>
      <c r="H283" s="45">
        <v>3</v>
      </c>
    </row>
    <row r="284" spans="3:8" x14ac:dyDescent="0.2">
      <c r="F284" s="45" t="str">
        <v>B</v>
      </c>
      <c r="G284" s="45" t="str">
        <v>w</v>
      </c>
      <c r="H284" s="45">
        <v>1</v>
      </c>
    </row>
    <row r="285" spans="3:8" x14ac:dyDescent="0.2">
      <c r="F285" s="45" t="str">
        <v>B</v>
      </c>
      <c r="G285" s="45" t="str">
        <v>w</v>
      </c>
      <c r="H285" s="45">
        <v>2</v>
      </c>
    </row>
    <row r="286" spans="3:8" x14ac:dyDescent="0.2">
      <c r="F286" s="45" t="str">
        <v>B</v>
      </c>
      <c r="G286" s="45" t="str">
        <v>w</v>
      </c>
      <c r="H286" s="45">
        <v>3</v>
      </c>
    </row>
    <row r="287" spans="3:8" x14ac:dyDescent="0.2">
      <c r="F287" s="45" t="str">
        <v>C</v>
      </c>
      <c r="G287" s="45" t="str">
        <v>q</v>
      </c>
      <c r="H287" s="45">
        <v>1</v>
      </c>
    </row>
    <row r="288" spans="3:8" x14ac:dyDescent="0.2">
      <c r="F288" s="45" t="str">
        <v>C</v>
      </c>
      <c r="G288" s="45" t="str">
        <v>q</v>
      </c>
      <c r="H288" s="45">
        <v>2</v>
      </c>
    </row>
    <row r="289" spans="2:8" x14ac:dyDescent="0.2">
      <c r="F289" s="45" t="str">
        <v>C</v>
      </c>
      <c r="G289" s="45" t="str">
        <v>q</v>
      </c>
      <c r="H289" s="45">
        <v>3</v>
      </c>
    </row>
    <row r="290" spans="2:8" x14ac:dyDescent="0.2">
      <c r="F290" s="45" t="str">
        <v>C</v>
      </c>
      <c r="G290" s="45" t="str">
        <v>w</v>
      </c>
      <c r="H290" s="45">
        <v>1</v>
      </c>
    </row>
    <row r="291" spans="2:8" x14ac:dyDescent="0.2">
      <c r="F291" s="45" t="str">
        <v>C</v>
      </c>
      <c r="G291" s="45" t="str">
        <v>w</v>
      </c>
      <c r="H291" s="45">
        <v>2</v>
      </c>
    </row>
    <row r="292" spans="2:8" x14ac:dyDescent="0.2">
      <c r="F292" s="45" t="str">
        <v>C</v>
      </c>
      <c r="G292" s="45" t="str">
        <v>w</v>
      </c>
      <c r="H292" s="45">
        <v>3</v>
      </c>
    </row>
    <row r="294" spans="2:8" x14ac:dyDescent="0.2">
      <c r="B294" s="7" t="s">
        <v>845</v>
      </c>
    </row>
    <row r="295" spans="2:8" x14ac:dyDescent="0.2">
      <c r="B295" s="38" t="s">
        <v>846</v>
      </c>
    </row>
    <row r="297" spans="2:8" x14ac:dyDescent="0.2">
      <c r="C297" s="57" t="s">
        <v>847</v>
      </c>
      <c r="F297" s="57" t="s">
        <v>848</v>
      </c>
    </row>
    <row r="298" spans="2:8" x14ac:dyDescent="0.2">
      <c r="C298" s="158" t="s">
        <v>849</v>
      </c>
      <c r="D298" s="158" t="s">
        <v>850</v>
      </c>
      <c r="F298" s="158" t="s">
        <v>851</v>
      </c>
      <c r="G298" s="158" t="s">
        <v>852</v>
      </c>
    </row>
    <row r="299" spans="2:8" x14ac:dyDescent="0.2">
      <c r="C299" s="159" t="s">
        <v>853</v>
      </c>
      <c r="D299" s="159" t="s">
        <v>854</v>
      </c>
      <c r="F299" s="160" t="s">
        <v>855</v>
      </c>
      <c r="G299" s="160" t="s">
        <v>856</v>
      </c>
    </row>
    <row r="300" spans="2:8" x14ac:dyDescent="0.2">
      <c r="C300" s="159" t="s">
        <v>857</v>
      </c>
      <c r="D300" s="159" t="s">
        <v>858</v>
      </c>
      <c r="F300" s="160" t="s">
        <v>859</v>
      </c>
      <c r="G300" s="160" t="s">
        <v>860</v>
      </c>
    </row>
    <row r="301" spans="2:8" x14ac:dyDescent="0.2">
      <c r="C301" s="159" t="s">
        <v>861</v>
      </c>
      <c r="D301" s="159" t="s">
        <v>862</v>
      </c>
    </row>
    <row r="303" spans="2:8" x14ac:dyDescent="0.2">
      <c r="C303" s="7" t="s">
        <v>863</v>
      </c>
    </row>
    <row r="304" spans="2:8" x14ac:dyDescent="0.2">
      <c r="C304" s="158" t="s">
        <v>849</v>
      </c>
      <c r="D304" s="158" t="s">
        <v>850</v>
      </c>
      <c r="E304" s="158" t="s">
        <v>851</v>
      </c>
      <c r="F304" s="158" t="s">
        <v>852</v>
      </c>
    </row>
    <row r="305" spans="1:13" x14ac:dyDescent="0.2">
      <c r="C305" s="161" t="str" cm="1">
        <f t="array" ref="C305:F310">L.COMBINATIONS(C299:D301,F299:G300)</f>
        <v>Red</v>
      </c>
      <c r="D305" s="161" t="str">
        <v>Horiz Stripe</v>
      </c>
      <c r="E305" s="94" t="str">
        <v>serif</v>
      </c>
      <c r="F305" s="94" t="str">
        <v>embossed</v>
      </c>
    </row>
    <row r="306" spans="1:13" x14ac:dyDescent="0.2">
      <c r="C306" s="161" t="str">
        <v>Red</v>
      </c>
      <c r="D306" s="161" t="str">
        <v>Horiz Stripe</v>
      </c>
      <c r="E306" s="94" t="str">
        <v>sans-serif</v>
      </c>
      <c r="F306" s="94" t="str">
        <v>engraved</v>
      </c>
    </row>
    <row r="307" spans="1:13" x14ac:dyDescent="0.2">
      <c r="C307" s="161" t="str">
        <v>Green</v>
      </c>
      <c r="D307" s="161" t="str">
        <v>Vert Stripe</v>
      </c>
      <c r="E307" s="94" t="str">
        <v>serif</v>
      </c>
      <c r="F307" s="94" t="str">
        <v>embossed</v>
      </c>
    </row>
    <row r="308" spans="1:13" x14ac:dyDescent="0.2">
      <c r="C308" s="161" t="str">
        <v>Green</v>
      </c>
      <c r="D308" s="161" t="str">
        <v>Vert Stripe</v>
      </c>
      <c r="E308" s="94" t="str">
        <v>sans-serif</v>
      </c>
      <c r="F308" s="94" t="str">
        <v>engraved</v>
      </c>
    </row>
    <row r="309" spans="1:13" x14ac:dyDescent="0.2">
      <c r="C309" s="161" t="str">
        <v>Blue</v>
      </c>
      <c r="D309" s="161" t="str">
        <v>Crosshatch</v>
      </c>
      <c r="E309" s="94" t="str">
        <v>serif</v>
      </c>
      <c r="F309" s="94" t="str">
        <v>embossed</v>
      </c>
    </row>
    <row r="310" spans="1:13" x14ac:dyDescent="0.2">
      <c r="C310" s="161" t="str">
        <v>Blue</v>
      </c>
      <c r="D310" s="161" t="str">
        <v>Crosshatch</v>
      </c>
      <c r="E310" s="94" t="str">
        <v>sans-serif</v>
      </c>
      <c r="F310" s="94" t="str">
        <v>engraved</v>
      </c>
    </row>
    <row r="313" spans="1:13" customFormat="1" ht="23.25" x14ac:dyDescent="0.2">
      <c r="A313" s="7" t="s">
        <v>6</v>
      </c>
      <c r="B313" s="12" t="s">
        <v>835</v>
      </c>
      <c r="C313" s="8"/>
      <c r="D313" s="8"/>
      <c r="E313" s="8"/>
      <c r="F313" s="8"/>
      <c r="G313" s="8"/>
      <c r="H313" s="154"/>
      <c r="I313" s="155"/>
      <c r="J313" s="8"/>
      <c r="K313" s="7"/>
    </row>
    <row r="314" spans="1:13" customFormat="1" ht="18" customHeight="1" x14ac:dyDescent="0.2">
      <c r="A314" s="7"/>
      <c r="B314" s="38" t="s">
        <v>836</v>
      </c>
      <c r="C314" s="7"/>
      <c r="D314" s="7"/>
      <c r="E314" s="7"/>
      <c r="F314" s="7"/>
      <c r="G314" s="7"/>
      <c r="H314" s="7"/>
      <c r="I314" s="7"/>
      <c r="J314" s="7"/>
      <c r="K314" s="7"/>
    </row>
    <row r="315" spans="1:13" x14ac:dyDescent="0.2">
      <c r="B315" s="41" t="s">
        <v>837</v>
      </c>
      <c r="L315" s="45"/>
      <c r="M315" s="45"/>
    </row>
    <row r="317" spans="1:13" x14ac:dyDescent="0.2">
      <c r="C317" s="39" t="s">
        <v>94</v>
      </c>
      <c r="D317" s="39" t="s">
        <v>838</v>
      </c>
      <c r="E317" s="39" t="s">
        <v>839</v>
      </c>
    </row>
    <row r="318" spans="1:13" x14ac:dyDescent="0.2">
      <c r="C318" s="157" t="s">
        <v>840</v>
      </c>
      <c r="D318" s="110">
        <v>4</v>
      </c>
      <c r="E318" s="110">
        <f>_xlfn.PERMUTATIONA(ROWS(C318:C319),D318)</f>
        <v>16</v>
      </c>
    </row>
    <row r="319" spans="1:13" x14ac:dyDescent="0.2">
      <c r="C319" s="157" t="s">
        <v>841</v>
      </c>
    </row>
    <row r="321" spans="3:6" x14ac:dyDescent="0.2">
      <c r="C321" s="156" t="s">
        <v>842</v>
      </c>
      <c r="D321" s="40"/>
      <c r="E321" s="40"/>
      <c r="F321" s="40"/>
    </row>
    <row r="322" spans="3:6" x14ac:dyDescent="0.2">
      <c r="C322" s="45" t="str" cm="1">
        <f t="array" ref="C322:F337">L.PERMUTATIONS(C318:C319,D318)</f>
        <v>😀</v>
      </c>
      <c r="D322" s="45" t="str">
        <v>😀</v>
      </c>
      <c r="E322" s="45" t="str">
        <v>😀</v>
      </c>
      <c r="F322" s="45" t="str">
        <v>😀</v>
      </c>
    </row>
    <row r="323" spans="3:6" x14ac:dyDescent="0.2">
      <c r="C323" s="45" t="str">
        <v>😀</v>
      </c>
      <c r="D323" s="45" t="str">
        <v>😀</v>
      </c>
      <c r="E323" s="45" t="str">
        <v>😀</v>
      </c>
      <c r="F323" s="45" t="str">
        <v>🪙</v>
      </c>
    </row>
    <row r="324" spans="3:6" x14ac:dyDescent="0.2">
      <c r="C324" s="45" t="str">
        <v>😀</v>
      </c>
      <c r="D324" s="45" t="str">
        <v>😀</v>
      </c>
      <c r="E324" s="45" t="str">
        <v>🪙</v>
      </c>
      <c r="F324" s="45" t="str">
        <v>😀</v>
      </c>
    </row>
    <row r="325" spans="3:6" x14ac:dyDescent="0.2">
      <c r="C325" s="45" t="str">
        <v>😀</v>
      </c>
      <c r="D325" s="45" t="str">
        <v>😀</v>
      </c>
      <c r="E325" s="45" t="str">
        <v>🪙</v>
      </c>
      <c r="F325" s="45" t="str">
        <v>🪙</v>
      </c>
    </row>
    <row r="326" spans="3:6" x14ac:dyDescent="0.2">
      <c r="C326" s="45" t="str">
        <v>😀</v>
      </c>
      <c r="D326" s="45" t="str">
        <v>🪙</v>
      </c>
      <c r="E326" s="45" t="str">
        <v>😀</v>
      </c>
      <c r="F326" s="45" t="str">
        <v>😀</v>
      </c>
    </row>
    <row r="327" spans="3:6" x14ac:dyDescent="0.2">
      <c r="C327" s="45" t="str">
        <v>😀</v>
      </c>
      <c r="D327" s="45" t="str">
        <v>🪙</v>
      </c>
      <c r="E327" s="45" t="str">
        <v>😀</v>
      </c>
      <c r="F327" s="45" t="str">
        <v>🪙</v>
      </c>
    </row>
    <row r="328" spans="3:6" x14ac:dyDescent="0.2">
      <c r="C328" s="45" t="str">
        <v>😀</v>
      </c>
      <c r="D328" s="45" t="str">
        <v>🪙</v>
      </c>
      <c r="E328" s="45" t="str">
        <v>🪙</v>
      </c>
      <c r="F328" s="45" t="str">
        <v>😀</v>
      </c>
    </row>
    <row r="329" spans="3:6" x14ac:dyDescent="0.2">
      <c r="C329" s="45" t="str">
        <v>😀</v>
      </c>
      <c r="D329" s="45" t="str">
        <v>🪙</v>
      </c>
      <c r="E329" s="45" t="str">
        <v>🪙</v>
      </c>
      <c r="F329" s="45" t="str">
        <v>🪙</v>
      </c>
    </row>
    <row r="330" spans="3:6" x14ac:dyDescent="0.2">
      <c r="C330" s="45" t="str">
        <v>🪙</v>
      </c>
      <c r="D330" s="45" t="str">
        <v>😀</v>
      </c>
      <c r="E330" s="45" t="str">
        <v>😀</v>
      </c>
      <c r="F330" s="45" t="str">
        <v>😀</v>
      </c>
    </row>
    <row r="331" spans="3:6" x14ac:dyDescent="0.2">
      <c r="C331" s="45" t="str">
        <v>🪙</v>
      </c>
      <c r="D331" s="45" t="str">
        <v>😀</v>
      </c>
      <c r="E331" s="45" t="str">
        <v>😀</v>
      </c>
      <c r="F331" s="45" t="str">
        <v>🪙</v>
      </c>
    </row>
    <row r="332" spans="3:6" x14ac:dyDescent="0.2">
      <c r="C332" s="45" t="str">
        <v>🪙</v>
      </c>
      <c r="D332" s="45" t="str">
        <v>😀</v>
      </c>
      <c r="E332" s="45" t="str">
        <v>🪙</v>
      </c>
      <c r="F332" s="45" t="str">
        <v>😀</v>
      </c>
    </row>
    <row r="333" spans="3:6" x14ac:dyDescent="0.2">
      <c r="C333" s="45" t="str">
        <v>🪙</v>
      </c>
      <c r="D333" s="45" t="str">
        <v>😀</v>
      </c>
      <c r="E333" s="45" t="str">
        <v>🪙</v>
      </c>
      <c r="F333" s="45" t="str">
        <v>🪙</v>
      </c>
    </row>
    <row r="334" spans="3:6" x14ac:dyDescent="0.2">
      <c r="C334" s="45" t="str">
        <v>🪙</v>
      </c>
      <c r="D334" s="45" t="str">
        <v>🪙</v>
      </c>
      <c r="E334" s="45" t="str">
        <v>😀</v>
      </c>
      <c r="F334" s="45" t="str">
        <v>😀</v>
      </c>
    </row>
    <row r="335" spans="3:6" x14ac:dyDescent="0.2">
      <c r="C335" s="45" t="str">
        <v>🪙</v>
      </c>
      <c r="D335" s="45" t="str">
        <v>🪙</v>
      </c>
      <c r="E335" s="45" t="str">
        <v>😀</v>
      </c>
      <c r="F335" s="45" t="str">
        <v>🪙</v>
      </c>
    </row>
    <row r="336" spans="3:6" x14ac:dyDescent="0.2">
      <c r="C336" s="45" t="str">
        <v>🪙</v>
      </c>
      <c r="D336" s="45" t="str">
        <v>🪙</v>
      </c>
      <c r="E336" s="45" t="str">
        <v>🪙</v>
      </c>
      <c r="F336" s="45" t="str">
        <v>😀</v>
      </c>
    </row>
    <row r="337" spans="1:11" x14ac:dyDescent="0.2">
      <c r="C337" s="45" t="str">
        <v>🪙</v>
      </c>
      <c r="D337" s="45" t="str">
        <v>🪙</v>
      </c>
      <c r="E337" s="45" t="str">
        <v>🪙</v>
      </c>
      <c r="F337" s="45" t="str">
        <v>🪙</v>
      </c>
    </row>
    <row r="340" spans="1:11" customFormat="1" ht="23.25" x14ac:dyDescent="0.2">
      <c r="A340" s="7" t="s">
        <v>6</v>
      </c>
      <c r="B340" s="12" t="s">
        <v>813</v>
      </c>
      <c r="C340" s="8"/>
      <c r="D340" s="8"/>
      <c r="E340" s="8"/>
      <c r="F340" s="8"/>
      <c r="G340" s="8"/>
      <c r="H340" s="8"/>
      <c r="I340" s="8"/>
      <c r="J340" s="8"/>
      <c r="K340" s="7"/>
    </row>
    <row r="341" spans="1:11" customFormat="1" ht="18" customHeight="1" x14ac:dyDescent="0.2">
      <c r="A341" s="7"/>
      <c r="B341" s="38" t="s">
        <v>281</v>
      </c>
      <c r="C341" s="7"/>
      <c r="D341" s="7"/>
      <c r="E341" s="7"/>
      <c r="F341" s="7"/>
      <c r="G341" s="7"/>
      <c r="H341" s="7"/>
      <c r="I341" s="7"/>
      <c r="J341" s="7"/>
      <c r="K341" s="7"/>
    </row>
    <row r="342" spans="1:11" x14ac:dyDescent="0.2">
      <c r="B342" s="41" t="s">
        <v>523</v>
      </c>
    </row>
    <row r="344" spans="1:11" x14ac:dyDescent="0.2">
      <c r="C344" s="39" t="s">
        <v>112</v>
      </c>
      <c r="D344" s="65">
        <v>5</v>
      </c>
      <c r="F344" s="40" t="s">
        <v>293</v>
      </c>
    </row>
    <row r="345" spans="1:11" x14ac:dyDescent="0.2">
      <c r="C345" s="39" t="s">
        <v>292</v>
      </c>
      <c r="D345" s="65">
        <v>3</v>
      </c>
      <c r="F345" s="45">
        <f>COMBIN(D344,D345)</f>
        <v>10</v>
      </c>
    </row>
    <row r="348" spans="1:11" x14ac:dyDescent="0.2">
      <c r="C348" s="39" t="s">
        <v>94</v>
      </c>
      <c r="E348" s="39" t="s">
        <v>292</v>
      </c>
      <c r="F348"/>
      <c r="G348" s="40" t="s">
        <v>282</v>
      </c>
    </row>
    <row r="349" spans="1:11" x14ac:dyDescent="0.2">
      <c r="C349" s="42">
        <v>1</v>
      </c>
      <c r="E349" s="65">
        <v>3</v>
      </c>
      <c r="F349"/>
      <c r="G349" s="44" cm="1">
        <f t="array" ref="G349:I358">L.COMBINR(C349:C353,E349)</f>
        <v>1</v>
      </c>
      <c r="H349" s="45">
        <v>2</v>
      </c>
      <c r="I349" s="45">
        <v>3</v>
      </c>
    </row>
    <row r="350" spans="1:11" x14ac:dyDescent="0.2">
      <c r="C350" s="42">
        <v>2</v>
      </c>
      <c r="E350"/>
      <c r="F350"/>
      <c r="G350" s="44">
        <v>1</v>
      </c>
      <c r="H350" s="45">
        <v>2</v>
      </c>
      <c r="I350" s="45">
        <v>4</v>
      </c>
    </row>
    <row r="351" spans="1:11" x14ac:dyDescent="0.2">
      <c r="C351" s="42">
        <v>3</v>
      </c>
      <c r="E351"/>
      <c r="G351" s="45">
        <v>1</v>
      </c>
      <c r="H351" s="45">
        <v>2</v>
      </c>
      <c r="I351" s="45">
        <v>5</v>
      </c>
    </row>
    <row r="352" spans="1:11" x14ac:dyDescent="0.2">
      <c r="C352" s="42">
        <v>4</v>
      </c>
      <c r="G352" s="45">
        <v>1</v>
      </c>
      <c r="H352" s="45">
        <v>3</v>
      </c>
      <c r="I352" s="45">
        <v>4</v>
      </c>
    </row>
    <row r="353" spans="3:9" x14ac:dyDescent="0.2">
      <c r="C353" s="42">
        <v>5</v>
      </c>
      <c r="G353" s="45">
        <v>1</v>
      </c>
      <c r="H353" s="45">
        <v>3</v>
      </c>
      <c r="I353" s="45">
        <v>5</v>
      </c>
    </row>
    <row r="354" spans="3:9" x14ac:dyDescent="0.2">
      <c r="G354" s="45">
        <v>1</v>
      </c>
      <c r="H354" s="45">
        <v>4</v>
      </c>
      <c r="I354" s="45">
        <v>5</v>
      </c>
    </row>
    <row r="355" spans="3:9" x14ac:dyDescent="0.2">
      <c r="G355" s="45">
        <v>2</v>
      </c>
      <c r="H355" s="45">
        <v>3</v>
      </c>
      <c r="I355" s="45">
        <v>4</v>
      </c>
    </row>
    <row r="356" spans="3:9" x14ac:dyDescent="0.2">
      <c r="G356" s="45">
        <v>2</v>
      </c>
      <c r="H356" s="45">
        <v>3</v>
      </c>
      <c r="I356" s="45">
        <v>5</v>
      </c>
    </row>
    <row r="357" spans="3:9" x14ac:dyDescent="0.2">
      <c r="G357" s="45">
        <v>2</v>
      </c>
      <c r="H357" s="45">
        <v>4</v>
      </c>
      <c r="I357" s="45">
        <v>5</v>
      </c>
    </row>
    <row r="358" spans="3:9" x14ac:dyDescent="0.2">
      <c r="G358" s="45">
        <v>3</v>
      </c>
      <c r="H358" s="45">
        <v>4</v>
      </c>
      <c r="I358" s="45">
        <v>5</v>
      </c>
    </row>
    <row r="360" spans="3:9" x14ac:dyDescent="0.2">
      <c r="C360" s="39" t="s">
        <v>94</v>
      </c>
      <c r="E360" s="39" t="s">
        <v>292</v>
      </c>
      <c r="G360" s="40" t="s">
        <v>282</v>
      </c>
    </row>
    <row r="361" spans="3:9" x14ac:dyDescent="0.2">
      <c r="C361" s="42" t="s">
        <v>283</v>
      </c>
      <c r="E361" s="65">
        <v>3</v>
      </c>
      <c r="G361" s="44" t="str" cm="1">
        <f t="array" ref="G361:I370">L.COMBINR(C361:C365,E361)</f>
        <v>3♠</v>
      </c>
      <c r="H361" s="44" t="str">
        <v>Q♣</v>
      </c>
      <c r="I361" s="44" t="str">
        <v>10♦</v>
      </c>
    </row>
    <row r="362" spans="3:9" x14ac:dyDescent="0.2">
      <c r="C362" s="42" t="s">
        <v>284</v>
      </c>
      <c r="G362" s="44" t="str">
        <v>3♠</v>
      </c>
      <c r="H362" s="44" t="str">
        <v>Q♣</v>
      </c>
      <c r="I362" s="44" t="str">
        <v>9♥</v>
      </c>
    </row>
    <row r="363" spans="3:9" x14ac:dyDescent="0.2">
      <c r="C363" s="42" t="s">
        <v>285</v>
      </c>
      <c r="G363" s="44" t="str">
        <v>3♠</v>
      </c>
      <c r="H363" s="44" t="str">
        <v>Q♣</v>
      </c>
      <c r="I363" s="44" t="str">
        <v>J♦</v>
      </c>
    </row>
    <row r="364" spans="3:9" x14ac:dyDescent="0.2">
      <c r="C364" s="42" t="s">
        <v>286</v>
      </c>
      <c r="G364" s="44" t="str">
        <v>3♠</v>
      </c>
      <c r="H364" s="44" t="str">
        <v>10♦</v>
      </c>
      <c r="I364" s="44" t="str">
        <v>9♥</v>
      </c>
    </row>
    <row r="365" spans="3:9" x14ac:dyDescent="0.2">
      <c r="C365" s="42" t="s">
        <v>287</v>
      </c>
      <c r="G365" s="44" t="str">
        <v>3♠</v>
      </c>
      <c r="H365" s="44" t="str">
        <v>10♦</v>
      </c>
      <c r="I365" s="44" t="str">
        <v>J♦</v>
      </c>
    </row>
    <row r="366" spans="3:9" x14ac:dyDescent="0.2">
      <c r="G366" s="44" t="str">
        <v>3♠</v>
      </c>
      <c r="H366" s="44" t="str">
        <v>9♥</v>
      </c>
      <c r="I366" s="44" t="str">
        <v>J♦</v>
      </c>
    </row>
    <row r="367" spans="3:9" x14ac:dyDescent="0.2">
      <c r="G367" s="44" t="str">
        <v>Q♣</v>
      </c>
      <c r="H367" s="44" t="str">
        <v>10♦</v>
      </c>
      <c r="I367" s="44" t="str">
        <v>9♥</v>
      </c>
    </row>
    <row r="368" spans="3:9" x14ac:dyDescent="0.2">
      <c r="G368" s="44" t="str">
        <v>Q♣</v>
      </c>
      <c r="H368" s="44" t="str">
        <v>10♦</v>
      </c>
      <c r="I368" s="44" t="str">
        <v>J♦</v>
      </c>
    </row>
    <row r="369" spans="1:11" x14ac:dyDescent="0.2">
      <c r="G369" s="44" t="str">
        <v>Q♣</v>
      </c>
      <c r="H369" s="44" t="str">
        <v>9♥</v>
      </c>
      <c r="I369" s="44" t="str">
        <v>J♦</v>
      </c>
    </row>
    <row r="370" spans="1:11" x14ac:dyDescent="0.2">
      <c r="G370" s="44" t="str">
        <v>10♦</v>
      </c>
      <c r="H370" s="44" t="str">
        <v>9♥</v>
      </c>
      <c r="I370" s="44" t="str">
        <v>J♦</v>
      </c>
    </row>
    <row r="378" spans="1:11" customFormat="1" ht="18" customHeight="1" x14ac:dyDescent="0.2">
      <c r="A378" s="28" t="s">
        <v>6</v>
      </c>
      <c r="B378" s="13"/>
      <c r="C378" s="14"/>
      <c r="D378" s="6"/>
      <c r="E378" s="6"/>
      <c r="F378" s="6"/>
      <c r="G378" s="6"/>
      <c r="H378" s="6"/>
      <c r="I378" s="6"/>
      <c r="J378" s="6"/>
      <c r="K378" s="7"/>
    </row>
  </sheetData>
  <mergeCells count="2">
    <mergeCell ref="I1:J1"/>
    <mergeCell ref="B5:J7"/>
  </mergeCells>
  <hyperlinks>
    <hyperlink ref="B2" r:id="rId1" xr:uid="{E102CBDC-8DE2-4CB2-9131-B5FB041A3785}"/>
    <hyperlink ref="B29" r:id="rId2" xr:uid="{D9FF9A45-9846-4637-9ED2-9AF7D31956EF}"/>
    <hyperlink ref="B55" r:id="rId3" xr:uid="{64B634CB-BC6F-459B-AEF0-5DEC9BBE8902}"/>
    <hyperlink ref="B113" r:id="rId4" xr:uid="{1872AB89-2751-4D1B-84F9-9B05985AE450}"/>
    <hyperlink ref="B139" r:id="rId5" xr:uid="{B0E0B452-D95F-4E07-830A-86F9E4595170}"/>
    <hyperlink ref="B157" r:id="rId6" xr:uid="{8BE75A58-488E-46A5-B47E-84B2E6A713C7}"/>
    <hyperlink ref="B265" r:id="rId7" xr:uid="{F5C3DA0B-1943-488E-A097-CE5F99DE66B9}"/>
    <hyperlink ref="B341" r:id="rId8" xr:uid="{5797D0C0-C792-49B1-82A1-443DA97BA6E0}"/>
    <hyperlink ref="B245" r:id="rId9" xr:uid="{9C8638D0-FB39-4DC8-BE01-F609C1D02BB8}"/>
    <hyperlink ref="B203" r:id="rId10" xr:uid="{8D04798D-2A3B-4327-84EC-6C0DA97B8408}"/>
    <hyperlink ref="B221" r:id="rId11" xr:uid="{DB350F84-2D5C-4633-A531-845E90BE6BE8}"/>
    <hyperlink ref="B314" r:id="rId12" xr:uid="{EEA9387C-561A-4F06-B92C-664FCB7F9EA8}"/>
    <hyperlink ref="B295" r:id="rId13" xr:uid="{275BF174-42CD-4D0F-AE2B-D3FBB5A5F2A8}"/>
    <hyperlink ref="B79" r:id="rId14" xr:uid="{A396B7E9-043A-4536-9113-B66DA575876D}"/>
  </hyperlinks>
  <pageMargins left="0.7" right="0.7" top="0.75" bottom="0.75" header="0.3" footer="0.3"/>
  <pageSetup paperSize="0" orientation="portrait" horizontalDpi="203" verticalDpi="203"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0F561-3012-4562-8B8C-0948D9AB1586}">
  <dimension ref="A1:K319"/>
  <sheetViews>
    <sheetView showGridLines="0" workbookViewId="0"/>
  </sheetViews>
  <sheetFormatPr defaultRowHeight="15" x14ac:dyDescent="0.2"/>
  <cols>
    <col min="1" max="1" width="4.5" style="48" customWidth="1"/>
    <col min="2" max="11" width="11.125" style="7" customWidth="1"/>
    <col min="12" max="13" width="9" style="7"/>
    <col min="14" max="14" width="13" style="7" bestFit="1" customWidth="1"/>
    <col min="15" max="16384" width="9" style="7"/>
  </cols>
  <sheetData>
    <row r="1" spans="1:11" ht="36.950000000000003" customHeight="1" x14ac:dyDescent="0.2">
      <c r="A1" s="49"/>
      <c r="B1" s="2" t="s">
        <v>121</v>
      </c>
      <c r="C1" s="2"/>
      <c r="D1" s="2"/>
      <c r="E1" s="2"/>
      <c r="F1" s="2"/>
      <c r="G1" s="2"/>
      <c r="H1" s="2"/>
      <c r="I1" s="209" t="e" vm="1">
        <v>#VALUE!</v>
      </c>
      <c r="J1" s="209"/>
    </row>
    <row r="2" spans="1:11" ht="18" customHeight="1" x14ac:dyDescent="0.2">
      <c r="B2" s="46" t="s">
        <v>55</v>
      </c>
      <c r="J2" s="47" t="s">
        <v>909</v>
      </c>
    </row>
    <row r="3" spans="1:11" ht="18" customHeight="1" x14ac:dyDescent="0.2"/>
    <row r="4" spans="1:11" ht="18" customHeight="1" x14ac:dyDescent="0.2">
      <c r="B4" s="21" t="s">
        <v>85</v>
      </c>
    </row>
    <row r="5" spans="1:11" ht="18" customHeight="1" x14ac:dyDescent="0.2">
      <c r="B5" s="212" t="s">
        <v>86</v>
      </c>
      <c r="C5" s="212"/>
      <c r="D5" s="212"/>
      <c r="E5" s="212"/>
      <c r="F5" s="212"/>
      <c r="G5" s="212"/>
      <c r="H5" s="212"/>
      <c r="I5" s="212"/>
      <c r="J5" s="212"/>
    </row>
    <row r="6" spans="1:11" ht="18" customHeight="1" x14ac:dyDescent="0.2">
      <c r="B6" s="212"/>
      <c r="C6" s="212"/>
      <c r="D6" s="212"/>
      <c r="E6" s="212"/>
      <c r="F6" s="212"/>
      <c r="G6" s="212"/>
      <c r="H6" s="212"/>
      <c r="I6" s="212"/>
      <c r="J6" s="212"/>
    </row>
    <row r="7" spans="1:11" ht="18" customHeight="1" x14ac:dyDescent="0.2">
      <c r="B7" s="212"/>
      <c r="C7" s="212"/>
      <c r="D7" s="212"/>
      <c r="E7" s="212"/>
      <c r="F7" s="212"/>
      <c r="G7" s="212"/>
      <c r="H7" s="212"/>
      <c r="I7" s="212"/>
      <c r="J7" s="212"/>
    </row>
    <row r="9" spans="1:11" customFormat="1" ht="23.25" x14ac:dyDescent="0.2">
      <c r="A9" s="7" t="s">
        <v>6</v>
      </c>
      <c r="B9" s="12" t="s">
        <v>7</v>
      </c>
      <c r="C9" s="8"/>
      <c r="D9" s="8"/>
      <c r="E9" s="8"/>
      <c r="F9" s="8"/>
      <c r="G9" s="8"/>
      <c r="H9" s="8"/>
      <c r="I9" s="8"/>
      <c r="J9" s="8"/>
      <c r="K9" s="7"/>
    </row>
    <row r="10" spans="1:11" customFormat="1" ht="18" customHeight="1" x14ac:dyDescent="0.2">
      <c r="A10" s="7"/>
      <c r="B10" s="7"/>
      <c r="C10" s="7"/>
      <c r="D10" s="7"/>
      <c r="E10" s="7"/>
      <c r="F10" s="7"/>
      <c r="G10" s="7"/>
      <c r="H10" s="7"/>
      <c r="I10" s="7"/>
      <c r="J10" s="7"/>
      <c r="K10" s="7"/>
    </row>
    <row r="11" spans="1:11" customFormat="1" ht="18" customHeight="1" x14ac:dyDescent="0.2">
      <c r="A11" s="7"/>
      <c r="B11" s="211" t="s">
        <v>20</v>
      </c>
      <c r="C11" s="211"/>
      <c r="D11" s="211"/>
      <c r="E11" s="211"/>
      <c r="F11" s="211"/>
      <c r="G11" s="211"/>
      <c r="H11" s="211"/>
      <c r="I11" s="211"/>
      <c r="J11" s="211"/>
      <c r="K11" s="7"/>
    </row>
    <row r="12" spans="1:11" customFormat="1" ht="18" customHeight="1" x14ac:dyDescent="0.2">
      <c r="A12" s="7"/>
      <c r="B12" s="211"/>
      <c r="C12" s="211"/>
      <c r="D12" s="211"/>
      <c r="E12" s="211"/>
      <c r="F12" s="211"/>
      <c r="G12" s="211"/>
      <c r="H12" s="211"/>
      <c r="I12" s="211"/>
      <c r="J12" s="211"/>
      <c r="K12" s="7"/>
    </row>
    <row r="13" spans="1:11" customFormat="1" ht="18" customHeight="1" x14ac:dyDescent="0.2">
      <c r="A13" s="7"/>
      <c r="B13" s="7"/>
      <c r="C13" s="7"/>
      <c r="D13" s="7"/>
      <c r="E13" s="7"/>
      <c r="F13" s="7"/>
      <c r="G13" s="7"/>
      <c r="H13" s="7"/>
      <c r="I13" s="7"/>
      <c r="J13" s="7"/>
      <c r="K13" s="7"/>
    </row>
    <row r="14" spans="1:11" customFormat="1" ht="18" customHeight="1" x14ac:dyDescent="0.2">
      <c r="A14" s="7"/>
      <c r="C14" s="16" t="s">
        <v>11</v>
      </c>
      <c r="D14" s="17" t="s">
        <v>8</v>
      </c>
      <c r="E14" s="18"/>
      <c r="F14" s="18"/>
      <c r="G14" s="19"/>
      <c r="H14" s="7"/>
      <c r="I14" s="7"/>
      <c r="J14" s="7"/>
      <c r="K14" s="7"/>
    </row>
    <row r="15" spans="1:11" customFormat="1" ht="18" customHeight="1" x14ac:dyDescent="0.2">
      <c r="A15" s="7"/>
      <c r="C15" s="7"/>
      <c r="D15" s="7"/>
      <c r="E15" s="7"/>
      <c r="F15" s="7"/>
      <c r="G15" s="7"/>
      <c r="H15" s="7"/>
      <c r="I15" s="7"/>
      <c r="J15" s="7"/>
      <c r="K15" s="7"/>
    </row>
    <row r="16" spans="1:11" customFormat="1" ht="18" customHeight="1" x14ac:dyDescent="0.2">
      <c r="A16" s="7"/>
      <c r="C16" s="16" t="s">
        <v>12</v>
      </c>
      <c r="D16" s="17" t="s">
        <v>9</v>
      </c>
      <c r="E16" s="18"/>
      <c r="F16" s="18"/>
      <c r="G16" s="19"/>
      <c r="H16" s="7"/>
      <c r="I16" s="7"/>
      <c r="J16" s="7"/>
      <c r="K16" s="7"/>
    </row>
    <row r="17" spans="1:11" customFormat="1" ht="18" customHeight="1" x14ac:dyDescent="0.2">
      <c r="A17" s="7"/>
      <c r="C17" s="7"/>
      <c r="D17" s="7"/>
      <c r="E17" s="7"/>
      <c r="F17" s="7"/>
      <c r="G17" s="7"/>
      <c r="H17" s="7"/>
      <c r="I17" s="7"/>
      <c r="J17" s="7"/>
      <c r="K17" s="7"/>
    </row>
    <row r="18" spans="1:11" customFormat="1" ht="18" customHeight="1" x14ac:dyDescent="0.2">
      <c r="A18" s="7"/>
      <c r="C18" s="16" t="s">
        <v>13</v>
      </c>
      <c r="D18" s="17" t="s">
        <v>10</v>
      </c>
      <c r="E18" s="18"/>
      <c r="F18" s="18"/>
      <c r="G18" s="19"/>
      <c r="H18" s="7"/>
      <c r="I18" s="7"/>
      <c r="J18" s="7"/>
      <c r="K18" s="7"/>
    </row>
    <row r="19" spans="1:11" customFormat="1" ht="18" customHeight="1" x14ac:dyDescent="0.2">
      <c r="A19" s="7"/>
      <c r="B19" s="7"/>
      <c r="C19" s="7"/>
      <c r="D19" s="7"/>
      <c r="E19" s="7"/>
      <c r="F19" s="7"/>
      <c r="G19" s="7"/>
      <c r="H19" s="7"/>
      <c r="I19" s="7"/>
      <c r="J19" s="7"/>
      <c r="K19" s="7"/>
    </row>
    <row r="20" spans="1:11" customFormat="1" ht="18" customHeight="1" x14ac:dyDescent="0.2">
      <c r="A20" s="7"/>
      <c r="B20" s="7"/>
      <c r="C20" s="16" t="s">
        <v>15</v>
      </c>
      <c r="D20" s="17" t="s">
        <v>14</v>
      </c>
      <c r="E20" s="18"/>
      <c r="F20" s="18"/>
      <c r="G20" s="19"/>
      <c r="H20" s="7"/>
      <c r="I20" s="7"/>
      <c r="J20" s="7"/>
      <c r="K20" s="7"/>
    </row>
    <row r="21" spans="1:11" customFormat="1" ht="18" customHeight="1" x14ac:dyDescent="0.2">
      <c r="A21" s="7"/>
      <c r="B21" s="7"/>
      <c r="C21" s="7"/>
      <c r="D21" s="7"/>
      <c r="E21" s="7"/>
      <c r="F21" s="7"/>
      <c r="G21" s="7"/>
      <c r="H21" s="7"/>
      <c r="I21" s="7"/>
      <c r="J21" s="7"/>
      <c r="K21" s="7"/>
    </row>
    <row r="22" spans="1:11" customFormat="1" ht="18" customHeight="1" x14ac:dyDescent="0.2">
      <c r="A22" s="7"/>
      <c r="B22" s="7"/>
      <c r="C22" s="16" t="s">
        <v>16</v>
      </c>
      <c r="D22" s="17" t="s">
        <v>17</v>
      </c>
      <c r="E22" s="18"/>
      <c r="F22" s="18"/>
      <c r="G22" s="19"/>
      <c r="H22" s="7"/>
      <c r="I22" s="7"/>
      <c r="J22" s="7"/>
      <c r="K22" s="7"/>
    </row>
    <row r="23" spans="1:11" customFormat="1" ht="18" customHeight="1" x14ac:dyDescent="0.2">
      <c r="A23" s="7"/>
      <c r="B23" s="7"/>
      <c r="C23" s="7"/>
      <c r="D23" s="7"/>
      <c r="E23" s="7"/>
      <c r="F23" s="7"/>
      <c r="G23" s="7"/>
      <c r="H23" s="7"/>
      <c r="I23" s="7"/>
      <c r="J23" s="7"/>
      <c r="K23" s="7"/>
    </row>
    <row r="24" spans="1:11" customFormat="1" ht="18" customHeight="1" x14ac:dyDescent="0.2">
      <c r="A24" s="7"/>
      <c r="B24" s="7"/>
      <c r="C24" s="16" t="s">
        <v>29</v>
      </c>
      <c r="D24" s="17" t="s">
        <v>30</v>
      </c>
      <c r="E24" s="18"/>
      <c r="F24" s="18"/>
      <c r="G24" s="19"/>
      <c r="H24" s="7"/>
      <c r="I24" s="7"/>
      <c r="J24" s="7"/>
      <c r="K24" s="7"/>
    </row>
    <row r="25" spans="1:11" customFormat="1" ht="18" customHeight="1" x14ac:dyDescent="0.2">
      <c r="A25" s="7"/>
      <c r="B25" s="7"/>
      <c r="C25" s="7"/>
      <c r="D25" s="7"/>
      <c r="E25" s="7"/>
      <c r="F25" s="7"/>
      <c r="G25" s="7"/>
      <c r="H25" s="7"/>
      <c r="I25" s="7"/>
      <c r="J25" s="7"/>
      <c r="K25" s="7"/>
    </row>
    <row r="26" spans="1:11" customFormat="1" ht="18" customHeight="1" x14ac:dyDescent="0.2">
      <c r="A26" s="7"/>
      <c r="B26" s="7"/>
      <c r="C26" s="16" t="s">
        <v>80</v>
      </c>
      <c r="D26" s="17" t="s">
        <v>81</v>
      </c>
      <c r="E26" s="18"/>
      <c r="F26" s="18"/>
      <c r="G26" s="19"/>
      <c r="H26" s="7"/>
      <c r="I26" s="7"/>
      <c r="J26" s="7"/>
      <c r="K26" s="7"/>
    </row>
    <row r="27" spans="1:11" customFormat="1" ht="18" customHeight="1" x14ac:dyDescent="0.2">
      <c r="A27" s="7"/>
      <c r="B27" s="7"/>
      <c r="C27" s="7"/>
      <c r="D27" s="7"/>
      <c r="E27" s="7"/>
      <c r="F27" s="7"/>
      <c r="G27" s="7"/>
      <c r="H27" s="7"/>
      <c r="I27" s="7"/>
      <c r="J27" s="7"/>
      <c r="K27" s="7"/>
    </row>
    <row r="28" spans="1:11" customFormat="1" ht="18" customHeight="1" x14ac:dyDescent="0.2">
      <c r="A28" s="7"/>
      <c r="B28" s="7"/>
      <c r="C28" s="16" t="s">
        <v>18</v>
      </c>
      <c r="D28" s="30" t="s">
        <v>46</v>
      </c>
      <c r="E28" s="18"/>
      <c r="F28" s="18"/>
      <c r="G28" s="19"/>
      <c r="H28" s="7"/>
      <c r="I28" s="7"/>
      <c r="J28" s="7"/>
      <c r="K28" s="7"/>
    </row>
    <row r="29" spans="1:11" customFormat="1" ht="18" customHeight="1" x14ac:dyDescent="0.2">
      <c r="A29" s="7"/>
      <c r="B29" s="7"/>
      <c r="C29" s="7"/>
      <c r="D29" s="7"/>
      <c r="E29" s="7"/>
      <c r="F29" s="7"/>
      <c r="G29" s="7"/>
      <c r="H29" s="7"/>
      <c r="I29" s="7"/>
      <c r="J29" s="7"/>
      <c r="K29" s="7"/>
    </row>
    <row r="30" spans="1:11" customFormat="1" ht="18" customHeight="1" x14ac:dyDescent="0.2">
      <c r="A30" s="7"/>
      <c r="B30" s="7"/>
      <c r="C30" s="16" t="s">
        <v>19</v>
      </c>
      <c r="D30" s="30" t="s">
        <v>47</v>
      </c>
      <c r="E30" s="18"/>
      <c r="F30" s="18"/>
      <c r="G30" s="19"/>
      <c r="H30" s="7"/>
      <c r="I30" s="7"/>
      <c r="J30" s="7"/>
      <c r="K30" s="7"/>
    </row>
    <row r="31" spans="1:11" customFormat="1" ht="18" customHeight="1" x14ac:dyDescent="0.2">
      <c r="A31" s="7"/>
      <c r="B31" s="7"/>
      <c r="C31" s="7"/>
      <c r="D31" s="7"/>
      <c r="E31" s="7"/>
      <c r="F31" s="7"/>
      <c r="G31" s="7"/>
      <c r="H31" s="7"/>
      <c r="I31" s="7"/>
      <c r="J31" s="7"/>
      <c r="K31" s="7"/>
    </row>
    <row r="32" spans="1:11" customFormat="1" ht="18" customHeight="1" x14ac:dyDescent="0.2">
      <c r="A32" s="7"/>
      <c r="B32" s="7"/>
      <c r="C32" s="7" t="s">
        <v>21</v>
      </c>
      <c r="D32" s="30" t="s">
        <v>49</v>
      </c>
      <c r="E32" s="18"/>
      <c r="F32" s="18"/>
      <c r="G32" s="19"/>
      <c r="H32" s="7"/>
      <c r="I32" s="7"/>
      <c r="J32" s="7"/>
      <c r="K32" s="7"/>
    </row>
    <row r="33" spans="1:11" customFormat="1" ht="18" customHeight="1" x14ac:dyDescent="0.2">
      <c r="A33" s="7"/>
      <c r="B33" s="7"/>
      <c r="C33" s="7" t="s">
        <v>22</v>
      </c>
      <c r="D33" s="30" t="s">
        <v>48</v>
      </c>
      <c r="E33" s="18"/>
      <c r="F33" s="18"/>
      <c r="G33" s="19"/>
      <c r="H33" s="7"/>
      <c r="I33" s="7"/>
      <c r="J33" s="7"/>
      <c r="K33" s="7"/>
    </row>
    <row r="34" spans="1:11" customFormat="1" ht="18" customHeight="1" x14ac:dyDescent="0.2">
      <c r="A34" s="7"/>
      <c r="B34" s="7"/>
      <c r="C34" s="7"/>
      <c r="D34" s="7"/>
      <c r="E34" s="7"/>
      <c r="F34" s="7"/>
      <c r="G34" s="7"/>
      <c r="H34" s="7"/>
      <c r="I34" s="7"/>
      <c r="J34" s="7"/>
      <c r="K34" s="7"/>
    </row>
    <row r="36" spans="1:11" customFormat="1" ht="23.25" x14ac:dyDescent="0.2">
      <c r="A36" s="48" t="s">
        <v>6</v>
      </c>
      <c r="B36" s="12" t="s">
        <v>806</v>
      </c>
      <c r="C36" s="8"/>
      <c r="D36" s="8"/>
      <c r="E36" s="8"/>
      <c r="F36" s="8"/>
      <c r="G36" s="8"/>
      <c r="H36" s="8"/>
      <c r="I36" s="8"/>
      <c r="J36" s="8"/>
      <c r="K36" s="7"/>
    </row>
    <row r="37" spans="1:11" customFormat="1" ht="18" customHeight="1" x14ac:dyDescent="0.2">
      <c r="A37" s="48"/>
      <c r="B37" s="38" t="s">
        <v>111</v>
      </c>
      <c r="C37" s="7"/>
      <c r="D37" s="7"/>
      <c r="E37" s="7"/>
      <c r="F37" s="7"/>
      <c r="G37" s="7"/>
      <c r="H37" s="7"/>
      <c r="I37" s="7"/>
      <c r="J37" s="7"/>
      <c r="K37" s="7"/>
    </row>
    <row r="38" spans="1:11" x14ac:dyDescent="0.2">
      <c r="B38" s="41" t="s">
        <v>502</v>
      </c>
    </row>
    <row r="40" spans="1:11" x14ac:dyDescent="0.2">
      <c r="C40" s="39" t="s">
        <v>94</v>
      </c>
      <c r="D40" s="39"/>
      <c r="F40" s="39" t="s">
        <v>113</v>
      </c>
      <c r="G40" s="42">
        <v>3</v>
      </c>
    </row>
    <row r="41" spans="1:11" x14ac:dyDescent="0.2">
      <c r="C41" s="42">
        <v>1</v>
      </c>
      <c r="D41" s="42">
        <v>2</v>
      </c>
      <c r="F41" s="39" t="s">
        <v>112</v>
      </c>
      <c r="G41" s="42">
        <v>4</v>
      </c>
    </row>
    <row r="42" spans="1:11" x14ac:dyDescent="0.2">
      <c r="C42" s="42">
        <v>5</v>
      </c>
      <c r="D42" s="42">
        <v>6</v>
      </c>
    </row>
    <row r="43" spans="1:11" x14ac:dyDescent="0.2">
      <c r="C43" s="42">
        <v>9</v>
      </c>
      <c r="D43" s="42">
        <v>10</v>
      </c>
    </row>
    <row r="45" spans="1:11" x14ac:dyDescent="0.2">
      <c r="C45" s="56" t="s">
        <v>119</v>
      </c>
      <c r="D45" s="40"/>
      <c r="F45" s="40" t="s">
        <v>290</v>
      </c>
      <c r="H45" s="56" t="s">
        <v>288</v>
      </c>
      <c r="I45" s="56"/>
      <c r="J45"/>
      <c r="K45"/>
    </row>
    <row r="46" spans="1:11" x14ac:dyDescent="0.2">
      <c r="C46" s="59" cm="1">
        <f t="array" ref="C46:D48">L.ONES(C41:D43)</f>
        <v>1</v>
      </c>
      <c r="D46" s="45">
        <v>1</v>
      </c>
      <c r="F46" s="59" cm="1">
        <f t="array" ref="F46:F48">L.ONES(G40)</f>
        <v>1</v>
      </c>
      <c r="H46" s="59" cm="1">
        <f t="array" ref="H46:K48">L.ONES(G40,G41)</f>
        <v>1</v>
      </c>
      <c r="I46" s="45">
        <v>1</v>
      </c>
      <c r="J46" s="44">
        <v>1</v>
      </c>
      <c r="K46" s="44">
        <v>1</v>
      </c>
    </row>
    <row r="47" spans="1:11" x14ac:dyDescent="0.2">
      <c r="C47" s="45">
        <v>1</v>
      </c>
      <c r="D47" s="45">
        <v>1</v>
      </c>
      <c r="F47" s="45">
        <v>1</v>
      </c>
      <c r="H47" s="45">
        <v>1</v>
      </c>
      <c r="I47" s="45">
        <v>1</v>
      </c>
      <c r="J47" s="44">
        <v>1</v>
      </c>
      <c r="K47" s="44">
        <v>1</v>
      </c>
    </row>
    <row r="48" spans="1:11" x14ac:dyDescent="0.2">
      <c r="C48" s="45">
        <v>1</v>
      </c>
      <c r="D48" s="45">
        <v>1</v>
      </c>
      <c r="F48" s="45">
        <v>1</v>
      </c>
      <c r="H48" s="45">
        <v>1</v>
      </c>
      <c r="I48" s="45">
        <v>1</v>
      </c>
      <c r="J48" s="44">
        <v>1</v>
      </c>
      <c r="K48" s="44">
        <v>1</v>
      </c>
    </row>
    <row r="49" spans="1:11" x14ac:dyDescent="0.2">
      <c r="H49" s="45"/>
      <c r="I49" s="45"/>
      <c r="J49"/>
      <c r="K49"/>
    </row>
    <row r="50" spans="1:11" x14ac:dyDescent="0.2">
      <c r="C50" s="56" t="s">
        <v>120</v>
      </c>
      <c r="D50" s="40"/>
      <c r="F50" s="40" t="s">
        <v>291</v>
      </c>
      <c r="H50" s="56" t="s">
        <v>289</v>
      </c>
      <c r="I50" s="56"/>
    </row>
    <row r="51" spans="1:11" x14ac:dyDescent="0.2">
      <c r="C51" s="59" cm="1">
        <f t="array" ref="C51:D53">L.ZEROS(C41:D43)</f>
        <v>0</v>
      </c>
      <c r="D51" s="45">
        <v>0</v>
      </c>
      <c r="F51" s="59" cm="1">
        <f t="array" ref="F51:F53">L.ZEROS(G40)</f>
        <v>0</v>
      </c>
      <c r="H51" s="59" cm="1">
        <f t="array" ref="H51:K53">L.ZEROS(G40,G41)</f>
        <v>0</v>
      </c>
      <c r="I51" s="45">
        <v>0</v>
      </c>
      <c r="J51" s="45">
        <v>0</v>
      </c>
      <c r="K51" s="45">
        <v>0</v>
      </c>
    </row>
    <row r="52" spans="1:11" x14ac:dyDescent="0.2">
      <c r="C52" s="45">
        <v>0</v>
      </c>
      <c r="D52" s="45">
        <v>0</v>
      </c>
      <c r="F52" s="45">
        <v>0</v>
      </c>
      <c r="H52" s="45">
        <v>0</v>
      </c>
      <c r="I52" s="45">
        <v>0</v>
      </c>
      <c r="J52" s="45">
        <v>0</v>
      </c>
      <c r="K52" s="45">
        <v>0</v>
      </c>
    </row>
    <row r="53" spans="1:11" x14ac:dyDescent="0.2">
      <c r="C53" s="45">
        <v>0</v>
      </c>
      <c r="D53" s="45">
        <v>0</v>
      </c>
      <c r="F53" s="45">
        <v>0</v>
      </c>
      <c r="H53" s="45">
        <v>0</v>
      </c>
      <c r="I53" s="45">
        <v>0</v>
      </c>
      <c r="J53" s="45">
        <v>0</v>
      </c>
      <c r="K53" s="45">
        <v>0</v>
      </c>
    </row>
    <row r="54" spans="1:11" x14ac:dyDescent="0.2">
      <c r="C54" s="45"/>
      <c r="D54" s="45"/>
      <c r="F54" s="45"/>
      <c r="H54" s="45"/>
      <c r="I54" s="45"/>
      <c r="J54" s="45"/>
      <c r="K54" s="45"/>
    </row>
    <row r="55" spans="1:11" x14ac:dyDescent="0.2">
      <c r="B55" s="57" t="s">
        <v>114</v>
      </c>
    </row>
    <row r="56" spans="1:11" x14ac:dyDescent="0.2">
      <c r="C56" s="56" t="s">
        <v>115</v>
      </c>
      <c r="D56" s="40"/>
      <c r="F56" s="40" t="s">
        <v>115</v>
      </c>
      <c r="H56" s="56" t="s">
        <v>115</v>
      </c>
      <c r="I56" s="56"/>
    </row>
    <row r="57" spans="1:11" x14ac:dyDescent="0.2">
      <c r="C57" s="59" cm="1">
        <f t="array" ref="C57:D59">_xlfn.SEQUENCE(ROWS($C$127:$D$129),COLUMNS($C$127:$D$129),1,0)</f>
        <v>1</v>
      </c>
      <c r="D57" s="45">
        <v>1</v>
      </c>
      <c r="F57" s="59" cm="1">
        <f t="array" ref="F57:F59">_xlfn.SEQUENCE(G40,1,1,0)</f>
        <v>1</v>
      </c>
      <c r="H57" s="59" cm="1">
        <f t="array" ref="H57:K59">_xlfn.SEQUENCE(G40,G41,1,0)</f>
        <v>1</v>
      </c>
      <c r="I57" s="45">
        <v>1</v>
      </c>
      <c r="J57" s="45">
        <v>1</v>
      </c>
      <c r="K57" s="45">
        <v>1</v>
      </c>
    </row>
    <row r="58" spans="1:11" x14ac:dyDescent="0.2">
      <c r="C58" s="45">
        <v>1</v>
      </c>
      <c r="D58" s="45">
        <v>1</v>
      </c>
      <c r="F58" s="45">
        <v>1</v>
      </c>
      <c r="H58" s="45">
        <v>1</v>
      </c>
      <c r="I58" s="45">
        <v>1</v>
      </c>
      <c r="J58" s="45">
        <v>1</v>
      </c>
      <c r="K58" s="45">
        <v>1</v>
      </c>
    </row>
    <row r="59" spans="1:11" x14ac:dyDescent="0.2">
      <c r="C59" s="45">
        <v>1</v>
      </c>
      <c r="D59" s="45">
        <v>1</v>
      </c>
      <c r="F59" s="45">
        <v>1</v>
      </c>
      <c r="H59" s="45">
        <v>1</v>
      </c>
      <c r="I59" s="45">
        <v>1</v>
      </c>
      <c r="J59" s="45">
        <v>1</v>
      </c>
      <c r="K59" s="45">
        <v>1</v>
      </c>
    </row>
    <row r="60" spans="1:11" x14ac:dyDescent="0.2">
      <c r="C60" s="45"/>
      <c r="D60" s="45"/>
      <c r="F60" s="45"/>
      <c r="H60" s="45"/>
      <c r="I60" s="45"/>
      <c r="J60" s="45"/>
      <c r="K60" s="45"/>
    </row>
    <row r="62" spans="1:11" ht="23.25" x14ac:dyDescent="0.2">
      <c r="A62" s="48" t="s">
        <v>6</v>
      </c>
      <c r="B62" s="12" t="s">
        <v>805</v>
      </c>
      <c r="C62" s="8"/>
      <c r="D62" s="8"/>
      <c r="E62" s="8"/>
      <c r="F62" s="8"/>
      <c r="G62" s="8"/>
      <c r="H62" s="8"/>
      <c r="I62" s="8"/>
      <c r="J62" s="8"/>
    </row>
    <row r="63" spans="1:11" x14ac:dyDescent="0.2">
      <c r="B63" s="38" t="s">
        <v>87</v>
      </c>
    </row>
    <row r="64" spans="1:11" x14ac:dyDescent="0.2">
      <c r="B64" s="41" t="s">
        <v>503</v>
      </c>
    </row>
    <row r="66" spans="1:11" x14ac:dyDescent="0.2">
      <c r="C66" s="39" t="s">
        <v>94</v>
      </c>
      <c r="D66" s="39"/>
      <c r="E66" s="39"/>
      <c r="G66" s="40" t="s">
        <v>116</v>
      </c>
      <c r="H66" s="41" t="s">
        <v>88</v>
      </c>
    </row>
    <row r="67" spans="1:11" x14ac:dyDescent="0.2">
      <c r="C67" s="42" t="s">
        <v>89</v>
      </c>
      <c r="D67" s="42">
        <v>7</v>
      </c>
      <c r="E67" s="42">
        <v>8</v>
      </c>
      <c r="G67" s="43" t="str" cm="1">
        <f t="array" ref="G67:G69">L.DIAG(C67:E69)</f>
        <v>A</v>
      </c>
    </row>
    <row r="68" spans="1:11" x14ac:dyDescent="0.2">
      <c r="C68" s="42">
        <v>1</v>
      </c>
      <c r="D68" s="42" t="s">
        <v>90</v>
      </c>
      <c r="E68" s="42">
        <v>9</v>
      </c>
      <c r="G68" s="45" t="str">
        <v>B</v>
      </c>
    </row>
    <row r="69" spans="1:11" x14ac:dyDescent="0.2">
      <c r="C69" s="42">
        <v>2</v>
      </c>
      <c r="D69" s="42">
        <v>3</v>
      </c>
      <c r="E69" s="42" t="s">
        <v>91</v>
      </c>
      <c r="G69" s="45" t="str">
        <v>C</v>
      </c>
    </row>
    <row r="71" spans="1:11" x14ac:dyDescent="0.2">
      <c r="C71" s="39" t="s">
        <v>92</v>
      </c>
      <c r="G71" s="40" t="s">
        <v>116</v>
      </c>
      <c r="H71" s="41" t="s">
        <v>93</v>
      </c>
    </row>
    <row r="72" spans="1:11" x14ac:dyDescent="0.2">
      <c r="C72" s="42" t="s">
        <v>89</v>
      </c>
      <c r="G72" s="43" t="str" cm="1">
        <f t="array" ref="G72:I74">L.DIAG(C72:C74)</f>
        <v>A</v>
      </c>
      <c r="H72" s="45">
        <v>0</v>
      </c>
      <c r="I72" s="45">
        <v>0</v>
      </c>
    </row>
    <row r="73" spans="1:11" x14ac:dyDescent="0.2">
      <c r="C73" s="42" t="s">
        <v>90</v>
      </c>
      <c r="G73" s="45">
        <v>0</v>
      </c>
      <c r="H73" s="45" t="str">
        <v>B</v>
      </c>
      <c r="I73" s="45">
        <v>0</v>
      </c>
    </row>
    <row r="74" spans="1:11" x14ac:dyDescent="0.2">
      <c r="C74" s="42" t="s">
        <v>91</v>
      </c>
      <c r="G74" s="45">
        <v>0</v>
      </c>
      <c r="H74" s="45">
        <v>0</v>
      </c>
      <c r="I74" s="45" t="str">
        <v>C</v>
      </c>
    </row>
    <row r="76" spans="1:11" customFormat="1" ht="23.25" x14ac:dyDescent="0.2">
      <c r="A76" s="48" t="s">
        <v>6</v>
      </c>
      <c r="B76" s="12" t="s">
        <v>804</v>
      </c>
      <c r="C76" s="8"/>
      <c r="D76" s="8"/>
      <c r="E76" s="8"/>
      <c r="F76" s="8"/>
      <c r="G76" s="8"/>
      <c r="H76" s="8"/>
      <c r="I76" s="8"/>
      <c r="J76" s="8"/>
      <c r="K76" s="7"/>
    </row>
    <row r="77" spans="1:11" customFormat="1" ht="18" customHeight="1" x14ac:dyDescent="0.2">
      <c r="A77" s="48"/>
      <c r="B77" s="38" t="s">
        <v>95</v>
      </c>
      <c r="C77" s="7"/>
      <c r="D77" s="7"/>
      <c r="E77" s="7"/>
      <c r="F77" s="7"/>
      <c r="G77" s="7"/>
      <c r="H77" s="7"/>
      <c r="I77" s="7"/>
      <c r="J77" s="7"/>
      <c r="K77" s="7"/>
    </row>
    <row r="78" spans="1:11" x14ac:dyDescent="0.2">
      <c r="B78" s="41" t="s">
        <v>504</v>
      </c>
    </row>
    <row r="79" spans="1:11" customFormat="1" ht="18" customHeight="1" x14ac:dyDescent="0.2">
      <c r="A79" s="48"/>
      <c r="B79" s="50"/>
      <c r="C79" s="7"/>
      <c r="D79" s="7"/>
      <c r="E79" s="7"/>
      <c r="F79" s="7"/>
      <c r="G79" s="7"/>
      <c r="H79" s="7"/>
      <c r="I79" s="7"/>
      <c r="J79" s="7"/>
      <c r="K79" s="7"/>
    </row>
    <row r="80" spans="1:11" x14ac:dyDescent="0.2">
      <c r="C80" s="39" t="s">
        <v>94</v>
      </c>
      <c r="D80" s="39"/>
      <c r="E80" s="39"/>
      <c r="G80" s="40" t="s">
        <v>117</v>
      </c>
    </row>
    <row r="81" spans="1:11" x14ac:dyDescent="0.2">
      <c r="C81" s="42">
        <v>1</v>
      </c>
      <c r="D81" s="42">
        <v>45</v>
      </c>
      <c r="E81" s="42">
        <v>75</v>
      </c>
      <c r="G81" s="43" cm="1">
        <f t="array" ref="G81">L.TRACE(C81:E83)</f>
        <v>6</v>
      </c>
    </row>
    <row r="82" spans="1:11" x14ac:dyDescent="0.2">
      <c r="C82" s="42">
        <v>98</v>
      </c>
      <c r="D82" s="42">
        <v>2</v>
      </c>
      <c r="E82" s="42">
        <v>23</v>
      </c>
      <c r="G82" s="44"/>
    </row>
    <row r="83" spans="1:11" x14ac:dyDescent="0.2">
      <c r="C83" s="42">
        <v>78</v>
      </c>
      <c r="D83" s="42">
        <v>25</v>
      </c>
      <c r="E83" s="42">
        <v>3</v>
      </c>
      <c r="G83" s="45"/>
    </row>
    <row r="85" spans="1:11" customFormat="1" ht="23.25" x14ac:dyDescent="0.2">
      <c r="A85" s="48" t="s">
        <v>6</v>
      </c>
      <c r="B85" s="12" t="s">
        <v>803</v>
      </c>
      <c r="C85" s="8"/>
      <c r="D85" s="8"/>
      <c r="E85" s="8"/>
      <c r="F85" s="8"/>
      <c r="G85" s="8"/>
      <c r="H85" s="8"/>
      <c r="I85" s="8"/>
      <c r="J85" s="8"/>
      <c r="K85" s="7"/>
    </row>
    <row r="86" spans="1:11" customFormat="1" ht="18" customHeight="1" x14ac:dyDescent="0.2">
      <c r="A86" s="48"/>
      <c r="B86" s="38" t="s">
        <v>96</v>
      </c>
      <c r="C86" s="7"/>
      <c r="D86" s="7"/>
      <c r="E86" s="7"/>
      <c r="F86" s="7"/>
      <c r="G86" s="7"/>
      <c r="H86" s="7"/>
      <c r="I86" s="7"/>
      <c r="J86" s="7"/>
      <c r="K86" s="7"/>
    </row>
    <row r="87" spans="1:11" x14ac:dyDescent="0.2">
      <c r="B87" s="41" t="s">
        <v>505</v>
      </c>
    </row>
    <row r="89" spans="1:11" x14ac:dyDescent="0.2">
      <c r="C89" s="51" t="s">
        <v>89</v>
      </c>
      <c r="D89" s="51"/>
      <c r="E89" s="51"/>
      <c r="F89" s="51"/>
      <c r="H89" s="40" t="s">
        <v>118</v>
      </c>
    </row>
    <row r="90" spans="1:11" x14ac:dyDescent="0.2">
      <c r="C90" s="42">
        <v>1</v>
      </c>
      <c r="D90" s="42">
        <v>0.5</v>
      </c>
      <c r="E90" s="42">
        <f>1/3</f>
        <v>0.33333333333333331</v>
      </c>
      <c r="F90" s="42">
        <v>0.25</v>
      </c>
      <c r="H90" s="43" t="b" cm="1">
        <f t="array" ref="H90">L.ISSYMMETRIC(C90:F93)</f>
        <v>1</v>
      </c>
    </row>
    <row r="91" spans="1:11" x14ac:dyDescent="0.2">
      <c r="C91" s="42">
        <v>0.5</v>
      </c>
      <c r="D91" s="42">
        <v>1</v>
      </c>
      <c r="E91" s="42">
        <f>D92</f>
        <v>0.66666666666666663</v>
      </c>
      <c r="F91" s="42">
        <v>0.5</v>
      </c>
      <c r="H91"/>
    </row>
    <row r="92" spans="1:11" x14ac:dyDescent="0.2">
      <c r="C92" s="42">
        <f>1/3</f>
        <v>0.33333333333333331</v>
      </c>
      <c r="D92" s="42">
        <f>2/3</f>
        <v>0.66666666666666663</v>
      </c>
      <c r="E92" s="42">
        <v>1</v>
      </c>
      <c r="F92" s="42">
        <v>0.75</v>
      </c>
    </row>
    <row r="93" spans="1:11" x14ac:dyDescent="0.2">
      <c r="C93" s="42">
        <v>0.25</v>
      </c>
      <c r="D93" s="42">
        <v>0.5</v>
      </c>
      <c r="E93" s="42">
        <v>0.75</v>
      </c>
      <c r="F93" s="42">
        <v>1</v>
      </c>
    </row>
    <row r="96" spans="1:11" customFormat="1" ht="23.25" x14ac:dyDescent="0.2">
      <c r="A96" s="48" t="s">
        <v>6</v>
      </c>
      <c r="B96" s="12" t="s">
        <v>802</v>
      </c>
      <c r="C96" s="8"/>
      <c r="D96" s="8"/>
      <c r="E96" s="8"/>
      <c r="F96" s="8"/>
      <c r="G96" s="8"/>
      <c r="H96" s="8"/>
      <c r="I96" s="8"/>
      <c r="J96" s="8"/>
      <c r="K96" s="7"/>
    </row>
    <row r="97" spans="1:11" customFormat="1" ht="18" customHeight="1" x14ac:dyDescent="0.2">
      <c r="A97" s="48"/>
      <c r="B97" s="38" t="s">
        <v>98</v>
      </c>
      <c r="C97" s="7"/>
      <c r="D97" s="7"/>
      <c r="E97" s="7"/>
      <c r="F97" s="7"/>
      <c r="G97" s="7"/>
      <c r="H97" s="7"/>
      <c r="I97" s="7"/>
      <c r="J97" s="7"/>
      <c r="K97" s="7"/>
    </row>
    <row r="98" spans="1:11" x14ac:dyDescent="0.2">
      <c r="B98" s="41" t="s">
        <v>506</v>
      </c>
    </row>
    <row r="100" spans="1:11" x14ac:dyDescent="0.2">
      <c r="D100" s="53" t="s">
        <v>99</v>
      </c>
      <c r="E100" s="53" t="s">
        <v>100</v>
      </c>
      <c r="F100" s="53" t="s">
        <v>101</v>
      </c>
      <c r="H100" s="40" t="s">
        <v>102</v>
      </c>
    </row>
    <row r="101" spans="1:11" x14ac:dyDescent="0.2">
      <c r="C101" s="53" t="s">
        <v>103</v>
      </c>
      <c r="D101" s="42">
        <v>1</v>
      </c>
      <c r="E101" s="42">
        <v>10</v>
      </c>
      <c r="F101" s="42">
        <v>100</v>
      </c>
      <c r="H101" s="54" cm="1">
        <f t="array" ref="H101:H104">L.ROWSUM(D101:F104)</f>
        <v>111</v>
      </c>
    </row>
    <row r="102" spans="1:11" x14ac:dyDescent="0.2">
      <c r="C102" s="53" t="s">
        <v>104</v>
      </c>
      <c r="D102" s="42">
        <v>2</v>
      </c>
      <c r="E102" s="42">
        <v>20</v>
      </c>
      <c r="F102" s="42">
        <v>200</v>
      </c>
      <c r="H102" s="54">
        <v>222</v>
      </c>
    </row>
    <row r="103" spans="1:11" x14ac:dyDescent="0.2">
      <c r="C103" s="53" t="s">
        <v>105</v>
      </c>
      <c r="D103" s="42">
        <v>4</v>
      </c>
      <c r="E103" s="42">
        <v>40</v>
      </c>
      <c r="F103" s="42">
        <v>400</v>
      </c>
      <c r="H103" s="54">
        <v>444</v>
      </c>
    </row>
    <row r="104" spans="1:11" x14ac:dyDescent="0.2">
      <c r="C104" s="53" t="s">
        <v>106</v>
      </c>
      <c r="D104" s="42">
        <v>8</v>
      </c>
      <c r="E104" s="42">
        <v>80</v>
      </c>
      <c r="F104" s="42">
        <v>800</v>
      </c>
      <c r="H104" s="54">
        <v>888</v>
      </c>
    </row>
    <row r="105" spans="1:11" x14ac:dyDescent="0.2">
      <c r="H105"/>
    </row>
    <row r="106" spans="1:11" x14ac:dyDescent="0.2">
      <c r="C106" s="40" t="s">
        <v>107</v>
      </c>
      <c r="D106" s="54" cm="1">
        <f t="array" ref="D106:F106">L.COLSUM(D101:F104)</f>
        <v>15</v>
      </c>
      <c r="E106" s="54">
        <v>150</v>
      </c>
      <c r="F106" s="54">
        <v>1500</v>
      </c>
      <c r="G106" s="55"/>
    </row>
    <row r="108" spans="1:11" customFormat="1" ht="23.25" x14ac:dyDescent="0.2">
      <c r="A108" s="48" t="s">
        <v>6</v>
      </c>
      <c r="B108" s="12" t="s">
        <v>801</v>
      </c>
      <c r="C108" s="8"/>
      <c r="D108" s="8"/>
      <c r="E108" s="8"/>
      <c r="F108" s="8"/>
      <c r="G108" s="8"/>
      <c r="H108" s="8"/>
      <c r="I108" s="8"/>
      <c r="J108" s="8"/>
      <c r="K108" s="7"/>
    </row>
    <row r="109" spans="1:11" customFormat="1" ht="18" customHeight="1" x14ac:dyDescent="0.2">
      <c r="A109" s="48"/>
      <c r="B109" s="38" t="s">
        <v>108</v>
      </c>
      <c r="C109" s="7"/>
      <c r="D109" s="7"/>
      <c r="E109" s="7"/>
      <c r="F109" s="7"/>
      <c r="G109" s="7"/>
      <c r="H109" s="7"/>
      <c r="I109" s="7"/>
      <c r="J109" s="7"/>
      <c r="K109" s="7"/>
    </row>
    <row r="110" spans="1:11" x14ac:dyDescent="0.2">
      <c r="B110" s="41" t="s">
        <v>507</v>
      </c>
    </row>
    <row r="111" spans="1:11" x14ac:dyDescent="0.2">
      <c r="B111" s="7" t="s">
        <v>791</v>
      </c>
    </row>
    <row r="113" spans="1:11" x14ac:dyDescent="0.2">
      <c r="C113" s="39" t="s">
        <v>92</v>
      </c>
      <c r="E113" s="40" t="s">
        <v>110</v>
      </c>
    </row>
    <row r="114" spans="1:11" x14ac:dyDescent="0.2">
      <c r="C114" s="42">
        <v>4</v>
      </c>
      <c r="E114" s="43" cm="1">
        <f t="array" ref="E114">L.MAGNITUDE(C114:C116)</f>
        <v>4.5825756949558398</v>
      </c>
    </row>
    <row r="115" spans="1:11" x14ac:dyDescent="0.2">
      <c r="C115" s="42">
        <v>2</v>
      </c>
    </row>
    <row r="116" spans="1:11" x14ac:dyDescent="0.2">
      <c r="C116" s="42">
        <v>-1</v>
      </c>
    </row>
    <row r="118" spans="1:11" x14ac:dyDescent="0.2">
      <c r="C118" s="39" t="s">
        <v>109</v>
      </c>
      <c r="D118" s="39"/>
      <c r="E118" s="39"/>
      <c r="G118" s="40" t="s">
        <v>110</v>
      </c>
    </row>
    <row r="119" spans="1:11" x14ac:dyDescent="0.2">
      <c r="C119" s="42">
        <v>4</v>
      </c>
      <c r="D119" s="42">
        <v>0</v>
      </c>
      <c r="E119" s="42">
        <v>1</v>
      </c>
      <c r="G119" s="59" cm="1">
        <f t="array" ref="G119:I119">L.MAGNITUDE(C119:E121)</f>
        <v>6</v>
      </c>
      <c r="H119" s="45">
        <v>5</v>
      </c>
      <c r="I119" s="45">
        <v>1.7320508075688772</v>
      </c>
    </row>
    <row r="120" spans="1:11" x14ac:dyDescent="0.2">
      <c r="C120" s="42">
        <v>-4</v>
      </c>
      <c r="D120" s="42">
        <v>-3</v>
      </c>
      <c r="E120" s="42">
        <v>1</v>
      </c>
    </row>
    <row r="121" spans="1:11" x14ac:dyDescent="0.2">
      <c r="C121" s="42">
        <v>2</v>
      </c>
      <c r="D121" s="42">
        <v>4</v>
      </c>
      <c r="E121" s="42">
        <v>1</v>
      </c>
    </row>
    <row r="123" spans="1:11" customFormat="1" ht="23.25" x14ac:dyDescent="0.2">
      <c r="A123" s="48" t="s">
        <v>6</v>
      </c>
      <c r="B123" s="12" t="s">
        <v>800</v>
      </c>
      <c r="C123" s="8"/>
      <c r="D123" s="8"/>
      <c r="E123" s="8"/>
      <c r="F123" s="8"/>
      <c r="G123" s="8"/>
      <c r="H123" s="8"/>
      <c r="I123" s="8"/>
      <c r="J123" s="8"/>
      <c r="K123" s="7"/>
    </row>
    <row r="124" spans="1:11" customFormat="1" ht="18" customHeight="1" x14ac:dyDescent="0.2">
      <c r="A124" s="48"/>
      <c r="B124" s="38" t="s">
        <v>122</v>
      </c>
      <c r="C124" s="7"/>
      <c r="D124" s="7"/>
      <c r="E124" s="7"/>
      <c r="F124" s="7"/>
      <c r="G124" s="7"/>
      <c r="H124" s="7"/>
      <c r="I124" s="7"/>
      <c r="J124" s="7"/>
      <c r="K124" s="7"/>
    </row>
    <row r="125" spans="1:11" x14ac:dyDescent="0.2">
      <c r="B125" s="41" t="s">
        <v>508</v>
      </c>
    </row>
    <row r="127" spans="1:11" x14ac:dyDescent="0.2">
      <c r="C127" s="39" t="s">
        <v>125</v>
      </c>
      <c r="D127"/>
      <c r="E127" s="39" t="s">
        <v>126</v>
      </c>
      <c r="G127" s="58" t="s">
        <v>127</v>
      </c>
      <c r="I127" s="40" t="s">
        <v>128</v>
      </c>
    </row>
    <row r="128" spans="1:11" x14ac:dyDescent="0.2">
      <c r="C128" s="42">
        <v>4</v>
      </c>
      <c r="D128"/>
      <c r="E128" s="42">
        <v>2</v>
      </c>
      <c r="G128" s="43">
        <f>SUMPRODUCT(C128:C130,E128:E130)</f>
        <v>8</v>
      </c>
      <c r="I128" s="43" cm="1">
        <f t="array" ref="I128">L.DOT(C128:C130,E128:E130)</f>
        <v>8</v>
      </c>
    </row>
    <row r="129" spans="1:11" x14ac:dyDescent="0.2">
      <c r="C129" s="42">
        <v>-1</v>
      </c>
      <c r="D129"/>
      <c r="E129" s="42">
        <v>-2</v>
      </c>
    </row>
    <row r="130" spans="1:11" x14ac:dyDescent="0.2">
      <c r="C130" s="42">
        <v>2</v>
      </c>
      <c r="D130"/>
      <c r="E130" s="42">
        <v>-1</v>
      </c>
    </row>
    <row r="132" spans="1:11" x14ac:dyDescent="0.2">
      <c r="C132" s="39" t="s">
        <v>89</v>
      </c>
      <c r="D132" s="39"/>
      <c r="E132" s="39"/>
      <c r="G132" s="40" t="s">
        <v>129</v>
      </c>
    </row>
    <row r="133" spans="1:11" x14ac:dyDescent="0.2">
      <c r="C133" s="42">
        <v>4</v>
      </c>
      <c r="D133" s="42">
        <v>0</v>
      </c>
      <c r="E133" s="42">
        <v>1</v>
      </c>
      <c r="G133" s="59" cm="1">
        <f t="array" ref="G133:I133">L.DOT(C133:E135,C138:E140)</f>
        <v>8</v>
      </c>
      <c r="H133" s="7">
        <v>10</v>
      </c>
      <c r="I133" s="7">
        <v>1</v>
      </c>
    </row>
    <row r="134" spans="1:11" x14ac:dyDescent="0.2">
      <c r="C134" s="42">
        <v>-1</v>
      </c>
      <c r="D134" s="42">
        <v>1</v>
      </c>
      <c r="E134" s="42">
        <v>0</v>
      </c>
    </row>
    <row r="135" spans="1:11" x14ac:dyDescent="0.2">
      <c r="C135" s="42">
        <v>2</v>
      </c>
      <c r="D135" s="42">
        <v>3</v>
      </c>
      <c r="E135" s="42">
        <v>0</v>
      </c>
    </row>
    <row r="137" spans="1:11" x14ac:dyDescent="0.2">
      <c r="C137" s="39" t="s">
        <v>90</v>
      </c>
      <c r="D137" s="39"/>
      <c r="E137" s="39"/>
    </row>
    <row r="138" spans="1:11" x14ac:dyDescent="0.2">
      <c r="C138" s="42">
        <v>2</v>
      </c>
      <c r="D138" s="42">
        <v>0</v>
      </c>
      <c r="E138" s="42">
        <v>1</v>
      </c>
    </row>
    <row r="139" spans="1:11" x14ac:dyDescent="0.2">
      <c r="C139" s="42">
        <v>-2</v>
      </c>
      <c r="D139" s="42">
        <v>1</v>
      </c>
      <c r="E139" s="42">
        <v>0</v>
      </c>
    </row>
    <row r="140" spans="1:11" x14ac:dyDescent="0.2">
      <c r="C140" s="42">
        <v>-1</v>
      </c>
      <c r="D140" s="42">
        <v>3</v>
      </c>
      <c r="E140" s="42">
        <v>0</v>
      </c>
    </row>
    <row r="142" spans="1:11" customFormat="1" ht="23.25" x14ac:dyDescent="0.2">
      <c r="A142" s="48" t="s">
        <v>6</v>
      </c>
      <c r="B142" s="12" t="s">
        <v>799</v>
      </c>
      <c r="C142" s="8"/>
      <c r="D142" s="8"/>
      <c r="E142" s="8"/>
      <c r="F142" s="8"/>
      <c r="G142" s="8"/>
      <c r="H142" s="8"/>
      <c r="I142" s="8"/>
      <c r="J142" s="8"/>
      <c r="K142" s="7"/>
    </row>
    <row r="143" spans="1:11" customFormat="1" ht="18" customHeight="1" x14ac:dyDescent="0.2">
      <c r="A143" s="48"/>
      <c r="B143" s="38" t="s">
        <v>130</v>
      </c>
      <c r="C143" s="7"/>
      <c r="D143" s="7"/>
      <c r="E143" s="7"/>
      <c r="F143" s="7"/>
      <c r="G143" s="7"/>
      <c r="H143" s="7"/>
      <c r="I143" s="7"/>
      <c r="J143" s="7"/>
      <c r="K143" s="7"/>
    </row>
    <row r="144" spans="1:11" x14ac:dyDescent="0.2">
      <c r="B144" s="41" t="s">
        <v>509</v>
      </c>
    </row>
    <row r="146" spans="1:11" x14ac:dyDescent="0.2">
      <c r="C146" s="39" t="s">
        <v>89</v>
      </c>
      <c r="D146"/>
      <c r="E146" s="39" t="s">
        <v>90</v>
      </c>
      <c r="G146" s="52" t="s">
        <v>131</v>
      </c>
      <c r="H146" s="52" t="s">
        <v>132</v>
      </c>
    </row>
    <row r="147" spans="1:11" x14ac:dyDescent="0.2">
      <c r="C147" s="42">
        <v>4</v>
      </c>
      <c r="D147"/>
      <c r="E147" s="42">
        <v>1</v>
      </c>
      <c r="G147" s="59" cm="1">
        <f t="array" ref="G147:G149">L.CROSS(C147:C149,E147:E149)</f>
        <v>-0.99999999999999978</v>
      </c>
      <c r="H147" s="59" cm="1">
        <f t="array" ref="H147:H149">L.CROSS(E147:E149,C147:C149)</f>
        <v>0.99999999999999978</v>
      </c>
    </row>
    <row r="148" spans="1:11" x14ac:dyDescent="0.2">
      <c r="C148" s="42">
        <v>2</v>
      </c>
      <c r="D148"/>
      <c r="E148" s="42">
        <v>3</v>
      </c>
      <c r="G148" s="45">
        <v>7</v>
      </c>
      <c r="H148" s="45">
        <v>-7</v>
      </c>
    </row>
    <row r="149" spans="1:11" x14ac:dyDescent="0.2">
      <c r="C149" s="42">
        <v>-1</v>
      </c>
      <c r="D149"/>
      <c r="E149" s="42">
        <v>-2</v>
      </c>
      <c r="G149" s="45">
        <v>10</v>
      </c>
      <c r="H149" s="45">
        <v>-10</v>
      </c>
    </row>
    <row r="152" spans="1:11" customFormat="1" ht="23.25" x14ac:dyDescent="0.2">
      <c r="A152" s="48" t="s">
        <v>6</v>
      </c>
      <c r="B152" s="12" t="s">
        <v>798</v>
      </c>
      <c r="C152" s="8"/>
      <c r="D152" s="8"/>
      <c r="E152" s="8"/>
      <c r="F152" s="8"/>
      <c r="G152" s="8"/>
      <c r="H152" s="8"/>
      <c r="I152" s="8"/>
      <c r="J152" s="8"/>
      <c r="K152" s="7"/>
    </row>
    <row r="153" spans="1:11" customFormat="1" ht="18" customHeight="1" x14ac:dyDescent="0.2">
      <c r="A153" s="48"/>
      <c r="B153" s="38" t="s">
        <v>133</v>
      </c>
      <c r="C153" s="7"/>
      <c r="D153" s="7"/>
      <c r="E153" s="7"/>
      <c r="F153" s="7"/>
      <c r="G153" s="7"/>
      <c r="H153" s="7"/>
      <c r="I153" s="7"/>
      <c r="J153" s="7"/>
      <c r="K153" s="7"/>
    </row>
    <row r="154" spans="1:11" x14ac:dyDescent="0.2">
      <c r="B154" s="41" t="s">
        <v>510</v>
      </c>
    </row>
    <row r="156" spans="1:11" x14ac:dyDescent="0.2">
      <c r="C156" s="39" t="s">
        <v>112</v>
      </c>
      <c r="D156" s="42">
        <v>5</v>
      </c>
      <c r="G156" s="40" t="s">
        <v>135</v>
      </c>
      <c r="H156" s="59">
        <f>MDETERM(_xlfn.ANCHORARRAY(C160))</f>
        <v>1</v>
      </c>
    </row>
    <row r="157" spans="1:11" x14ac:dyDescent="0.2">
      <c r="C157" s="39" t="s">
        <v>134</v>
      </c>
      <c r="D157" s="42"/>
      <c r="E157" s="7" t="s">
        <v>137</v>
      </c>
      <c r="G157" s="40" t="s">
        <v>118</v>
      </c>
      <c r="H157" s="60" t="b" cm="1">
        <f t="array" ref="H157">L.ISSYMMETRIC(_xlfn.ANCHORARRAY(C160))</f>
        <v>1</v>
      </c>
    </row>
    <row r="159" spans="1:11" x14ac:dyDescent="0.2">
      <c r="C159" s="40" t="s">
        <v>136</v>
      </c>
    </row>
    <row r="160" spans="1:11" x14ac:dyDescent="0.2">
      <c r="C160" s="59" cm="1">
        <f t="array" ref="C160:G164">L.PASCAL(D156,D157)</f>
        <v>1</v>
      </c>
      <c r="D160" s="45">
        <v>1</v>
      </c>
      <c r="E160" s="45">
        <v>1</v>
      </c>
      <c r="F160" s="45">
        <v>1</v>
      </c>
      <c r="G160" s="45">
        <v>1</v>
      </c>
    </row>
    <row r="161" spans="1:11" x14ac:dyDescent="0.2">
      <c r="C161" s="45">
        <v>1</v>
      </c>
      <c r="D161" s="45">
        <v>2</v>
      </c>
      <c r="E161" s="45">
        <v>3</v>
      </c>
      <c r="F161" s="45">
        <v>4</v>
      </c>
      <c r="G161" s="45">
        <v>5</v>
      </c>
    </row>
    <row r="162" spans="1:11" x14ac:dyDescent="0.2">
      <c r="C162" s="45">
        <v>1</v>
      </c>
      <c r="D162" s="45">
        <v>3</v>
      </c>
      <c r="E162" s="45">
        <v>6</v>
      </c>
      <c r="F162" s="45">
        <v>10</v>
      </c>
      <c r="G162" s="45">
        <v>15</v>
      </c>
    </row>
    <row r="163" spans="1:11" x14ac:dyDescent="0.2">
      <c r="C163" s="45">
        <v>1</v>
      </c>
      <c r="D163" s="45">
        <v>4</v>
      </c>
      <c r="E163" s="45">
        <v>10</v>
      </c>
      <c r="F163" s="45">
        <v>20</v>
      </c>
      <c r="G163" s="45">
        <v>35</v>
      </c>
    </row>
    <row r="164" spans="1:11" x14ac:dyDescent="0.2">
      <c r="C164" s="45">
        <v>1</v>
      </c>
      <c r="D164" s="45">
        <v>5</v>
      </c>
      <c r="E164" s="45">
        <v>15</v>
      </c>
      <c r="F164" s="45">
        <v>35</v>
      </c>
      <c r="G164" s="45">
        <v>70</v>
      </c>
    </row>
    <row r="166" spans="1:11" customFormat="1" ht="23.25" x14ac:dyDescent="0.2">
      <c r="A166" s="48" t="s">
        <v>6</v>
      </c>
      <c r="B166" s="12" t="s">
        <v>797</v>
      </c>
      <c r="C166" s="8"/>
      <c r="D166" s="8"/>
      <c r="E166" s="8"/>
      <c r="F166" s="8"/>
      <c r="G166" s="8"/>
      <c r="H166" s="8"/>
      <c r="I166" s="8"/>
      <c r="J166" s="8"/>
      <c r="K166" s="7"/>
    </row>
    <row r="167" spans="1:11" customFormat="1" ht="18" customHeight="1" x14ac:dyDescent="0.2">
      <c r="A167" s="48"/>
      <c r="B167" s="38" t="s">
        <v>138</v>
      </c>
      <c r="C167" s="7"/>
      <c r="D167" s="7"/>
      <c r="E167" s="7"/>
      <c r="F167" s="7"/>
      <c r="G167" s="7"/>
      <c r="H167" s="7"/>
      <c r="I167" s="7"/>
      <c r="J167" s="7"/>
      <c r="K167" s="7"/>
    </row>
    <row r="168" spans="1:11" x14ac:dyDescent="0.2">
      <c r="B168" s="41" t="s">
        <v>511</v>
      </c>
    </row>
    <row r="170" spans="1:11" x14ac:dyDescent="0.2">
      <c r="B170" s="57" t="s">
        <v>139</v>
      </c>
    </row>
    <row r="171" spans="1:11" x14ac:dyDescent="0.2">
      <c r="B171" s="61" t="s">
        <v>140</v>
      </c>
    </row>
    <row r="172" spans="1:11" x14ac:dyDescent="0.2">
      <c r="C172" s="39" t="s">
        <v>89</v>
      </c>
      <c r="D172" s="39"/>
      <c r="E172" s="39"/>
      <c r="F172" s="39"/>
      <c r="H172" s="40" t="s">
        <v>141</v>
      </c>
    </row>
    <row r="173" spans="1:11" x14ac:dyDescent="0.2">
      <c r="C173" s="42">
        <v>1</v>
      </c>
      <c r="D173" s="42">
        <v>0</v>
      </c>
      <c r="E173" s="42">
        <v>2</v>
      </c>
      <c r="F173" s="42">
        <v>3</v>
      </c>
      <c r="H173" s="16" cm="1">
        <f t="array" ref="H173:K180">L.HESS(C173:F176,"HU")</f>
        <v>1</v>
      </c>
      <c r="I173" s="16">
        <v>3.333333333333333</v>
      </c>
      <c r="J173" s="16">
        <v>-1.2666666666666668</v>
      </c>
      <c r="K173" s="16">
        <v>0.53333333333333344</v>
      </c>
    </row>
    <row r="174" spans="1:11" x14ac:dyDescent="0.2">
      <c r="C174" s="42">
        <v>-1</v>
      </c>
      <c r="D174" s="42">
        <v>0</v>
      </c>
      <c r="E174" s="42">
        <v>5</v>
      </c>
      <c r="F174" s="42">
        <v>2</v>
      </c>
      <c r="H174" s="16">
        <v>3</v>
      </c>
      <c r="I174" s="16">
        <v>2.2204460492503131E-16</v>
      </c>
      <c r="J174" s="16">
        <v>2.1333333333333333</v>
      </c>
      <c r="K174" s="16">
        <v>6.6666666666666208E-2</v>
      </c>
    </row>
    <row r="175" spans="1:11" x14ac:dyDescent="0.2">
      <c r="C175" s="42">
        <v>2</v>
      </c>
      <c r="D175" s="42">
        <v>-2</v>
      </c>
      <c r="E175" s="42">
        <v>0</v>
      </c>
      <c r="F175" s="42">
        <v>0</v>
      </c>
      <c r="H175" s="62">
        <v>-3.1086244689504381E-16</v>
      </c>
      <c r="I175" s="16">
        <v>-5</v>
      </c>
      <c r="J175" s="16">
        <v>0.77333333333333376</v>
      </c>
      <c r="K175" s="16">
        <v>2.5866666666666664</v>
      </c>
    </row>
    <row r="176" spans="1:11" x14ac:dyDescent="0.2">
      <c r="C176" s="42">
        <v>2</v>
      </c>
      <c r="D176" s="42">
        <v>-1</v>
      </c>
      <c r="E176" s="42">
        <v>2</v>
      </c>
      <c r="F176" s="42">
        <v>0</v>
      </c>
      <c r="H176" s="62">
        <v>-4.4408920985006227E-17</v>
      </c>
      <c r="I176" s="62">
        <v>0</v>
      </c>
      <c r="J176" s="16">
        <v>-0.74666666666666681</v>
      </c>
      <c r="K176" s="16">
        <v>-0.77333333333333343</v>
      </c>
    </row>
    <row r="177" spans="2:11" x14ac:dyDescent="0.2">
      <c r="H177" s="7">
        <v>1</v>
      </c>
      <c r="I177" s="7">
        <v>0</v>
      </c>
      <c r="J177" s="7">
        <v>0</v>
      </c>
      <c r="K177" s="7">
        <v>0</v>
      </c>
    </row>
    <row r="178" spans="2:11" ht="16.5" x14ac:dyDescent="0.2">
      <c r="B178" s="72" t="s">
        <v>424</v>
      </c>
      <c r="C178" s="7" cm="1">
        <f t="array" ref="C178:F181">MMULT(H177:K180,MMULT(H173:K176,TRANSPOSE(H177:K180)))</f>
        <v>1</v>
      </c>
      <c r="D178" s="7">
        <v>5.134781488891349E-16</v>
      </c>
      <c r="E178" s="7">
        <v>1.9999999999999998</v>
      </c>
      <c r="F178" s="7">
        <v>2.9999999999999996</v>
      </c>
      <c r="H178" s="7">
        <v>0</v>
      </c>
      <c r="I178" s="7">
        <v>-0.33333333333333326</v>
      </c>
      <c r="J178" s="7">
        <v>-0.93333333333333324</v>
      </c>
      <c r="K178" s="7">
        <v>-0.13333333333333319</v>
      </c>
    </row>
    <row r="179" spans="2:11" x14ac:dyDescent="0.2">
      <c r="C179" s="7">
        <v>-0.99999999999999944</v>
      </c>
      <c r="D179" s="7">
        <v>2.3592239273284576E-16</v>
      </c>
      <c r="E179" s="7">
        <v>4.9999999999999991</v>
      </c>
      <c r="F179" s="7">
        <v>1.9999999999999998</v>
      </c>
      <c r="H179" s="7">
        <v>0</v>
      </c>
      <c r="I179" s="7">
        <v>0.66666666666666663</v>
      </c>
      <c r="J179" s="7">
        <v>-0.13333333333333347</v>
      </c>
      <c r="K179" s="7">
        <v>-0.73333333333333339</v>
      </c>
    </row>
    <row r="180" spans="2:11" x14ac:dyDescent="0.2">
      <c r="C180" s="7">
        <v>2</v>
      </c>
      <c r="D180" s="7">
        <v>-2</v>
      </c>
      <c r="E180" s="7">
        <v>6.106226635438361E-16</v>
      </c>
      <c r="F180" s="7">
        <v>3.0531133177191805E-16</v>
      </c>
      <c r="H180" s="7">
        <v>0</v>
      </c>
      <c r="I180" s="7">
        <v>0.66666666666666663</v>
      </c>
      <c r="J180" s="7">
        <v>-0.33333333333333331</v>
      </c>
      <c r="K180" s="7">
        <v>0.66666666666666674</v>
      </c>
    </row>
    <row r="181" spans="2:11" x14ac:dyDescent="0.2">
      <c r="C181" s="7">
        <v>2</v>
      </c>
      <c r="D181" s="7">
        <v>-0.99999999999999956</v>
      </c>
      <c r="E181" s="7">
        <v>2.0000000000000004</v>
      </c>
      <c r="F181" s="7">
        <v>-8.3266726846886741E-17</v>
      </c>
    </row>
    <row r="184" spans="2:11" x14ac:dyDescent="0.2">
      <c r="B184" s="57" t="s">
        <v>142</v>
      </c>
    </row>
    <row r="185" spans="2:11" x14ac:dyDescent="0.2">
      <c r="B185" s="61" t="s">
        <v>143</v>
      </c>
    </row>
    <row r="186" spans="2:11" x14ac:dyDescent="0.2">
      <c r="C186" s="39" t="s">
        <v>89</v>
      </c>
      <c r="D186" s="39"/>
      <c r="E186" s="39"/>
      <c r="H186" s="40" t="s">
        <v>141</v>
      </c>
    </row>
    <row r="187" spans="2:11" x14ac:dyDescent="0.2">
      <c r="C187" s="42">
        <v>-149</v>
      </c>
      <c r="D187" s="42">
        <v>-50</v>
      </c>
      <c r="E187" s="42">
        <v>-154</v>
      </c>
      <c r="G187" s="72" t="s">
        <v>398</v>
      </c>
      <c r="H187" s="7" cm="1">
        <f t="array" ref="H187:J192">L.HESS(C187:E189,"HU")</f>
        <v>-149</v>
      </c>
      <c r="I187" s="7">
        <v>42.203671240016064</v>
      </c>
      <c r="J187" s="7">
        <v>-156.31650627449628</v>
      </c>
    </row>
    <row r="188" spans="2:11" x14ac:dyDescent="0.2">
      <c r="C188" s="42">
        <v>537</v>
      </c>
      <c r="D188" s="42">
        <v>180</v>
      </c>
      <c r="E188" s="42">
        <v>546</v>
      </c>
      <c r="G188" s="16"/>
      <c r="H188" s="7">
        <v>-537.67834250600049</v>
      </c>
      <c r="I188" s="7">
        <v>152.55114874540817</v>
      </c>
      <c r="J188" s="7">
        <v>-554.92715273021611</v>
      </c>
    </row>
    <row r="189" spans="2:11" x14ac:dyDescent="0.2">
      <c r="C189" s="42">
        <v>-27</v>
      </c>
      <c r="D189" s="42">
        <v>-9</v>
      </c>
      <c r="E189" s="42">
        <v>-25</v>
      </c>
      <c r="G189" s="16"/>
      <c r="H189" s="63">
        <v>0</v>
      </c>
      <c r="I189" s="7">
        <v>7.2847269783949897E-2</v>
      </c>
      <c r="J189" s="7">
        <v>2.4488512545918701</v>
      </c>
    </row>
    <row r="190" spans="2:11" x14ac:dyDescent="0.2">
      <c r="G190" s="72" t="s">
        <v>399</v>
      </c>
      <c r="H190" s="7">
        <v>1</v>
      </c>
      <c r="I190" s="7">
        <v>0</v>
      </c>
      <c r="J190" s="7">
        <v>0</v>
      </c>
    </row>
    <row r="191" spans="2:11" ht="16.5" x14ac:dyDescent="0.2">
      <c r="B191" s="72" t="s">
        <v>424</v>
      </c>
      <c r="C191" s="7" cm="1">
        <f t="array" ref="C191:E193">MMULT(H190:J192,MMULT(H187:J189,TRANSPOSE(H190:J192)))</f>
        <v>-149</v>
      </c>
      <c r="D191" s="7">
        <v>-50</v>
      </c>
      <c r="E191" s="7">
        <v>-153.99999999999994</v>
      </c>
      <c r="H191" s="7">
        <v>0</v>
      </c>
      <c r="I191" s="7">
        <v>-0.99873838603422471</v>
      </c>
      <c r="J191" s="7">
        <v>5.0215896504514086E-2</v>
      </c>
    </row>
    <row r="192" spans="2:11" x14ac:dyDescent="0.2">
      <c r="C192" s="7">
        <v>537</v>
      </c>
      <c r="D192" s="7">
        <v>180.00000000000006</v>
      </c>
      <c r="E192" s="7">
        <v>546.00000000000011</v>
      </c>
      <c r="H192" s="7">
        <v>0</v>
      </c>
      <c r="I192" s="7">
        <v>5.0215896504514086E-2</v>
      </c>
      <c r="J192" s="7">
        <v>0.9987383860342246</v>
      </c>
    </row>
    <row r="193" spans="1:11" x14ac:dyDescent="0.2">
      <c r="C193" s="7">
        <v>-26.999999999999996</v>
      </c>
      <c r="D193" s="7">
        <v>-9.0000000000000018</v>
      </c>
      <c r="E193" s="7">
        <v>-25.000000000000004</v>
      </c>
    </row>
    <row r="196" spans="1:11" customFormat="1" ht="23.25" x14ac:dyDescent="0.2">
      <c r="A196" s="48" t="s">
        <v>6</v>
      </c>
      <c r="B196" s="12" t="s">
        <v>796</v>
      </c>
      <c r="C196" s="8"/>
      <c r="D196" s="8"/>
      <c r="E196" s="8"/>
      <c r="F196" s="8"/>
      <c r="G196" s="8"/>
      <c r="H196" s="8"/>
      <c r="I196" s="8"/>
      <c r="J196" s="8"/>
      <c r="K196" s="7"/>
    </row>
    <row r="197" spans="1:11" customFormat="1" ht="18" customHeight="1" x14ac:dyDescent="0.2">
      <c r="A197" s="48"/>
      <c r="B197" s="38" t="s">
        <v>245</v>
      </c>
      <c r="C197" s="7"/>
      <c r="D197" s="7"/>
      <c r="E197" s="7"/>
      <c r="F197" s="7"/>
      <c r="G197" s="7"/>
      <c r="H197" s="7"/>
      <c r="I197" s="7"/>
      <c r="J197" s="7"/>
      <c r="K197" s="7"/>
    </row>
    <row r="198" spans="1:11" x14ac:dyDescent="0.2">
      <c r="B198" s="41" t="s">
        <v>512</v>
      </c>
    </row>
    <row r="200" spans="1:11" x14ac:dyDescent="0.2">
      <c r="B200" s="57" t="s">
        <v>259</v>
      </c>
    </row>
    <row r="201" spans="1:11" x14ac:dyDescent="0.2">
      <c r="B201" s="61" t="s">
        <v>246</v>
      </c>
    </row>
    <row r="202" spans="1:11" ht="16.5" x14ac:dyDescent="0.2">
      <c r="C202" s="51" t="s">
        <v>247</v>
      </c>
      <c r="D202" s="51" t="s">
        <v>248</v>
      </c>
      <c r="E202" s="51" t="s">
        <v>249</v>
      </c>
    </row>
    <row r="203" spans="1:11" x14ac:dyDescent="0.2">
      <c r="C203" s="42">
        <v>12</v>
      </c>
      <c r="D203" s="42">
        <v>-51</v>
      </c>
      <c r="E203" s="42">
        <v>4</v>
      </c>
    </row>
    <row r="204" spans="1:11" x14ac:dyDescent="0.2">
      <c r="C204" s="42">
        <v>6</v>
      </c>
      <c r="D204" s="42">
        <v>167</v>
      </c>
      <c r="E204" s="42">
        <v>-68</v>
      </c>
    </row>
    <row r="205" spans="1:11" x14ac:dyDescent="0.2">
      <c r="C205" s="42">
        <v>-4</v>
      </c>
      <c r="D205" s="42">
        <v>24</v>
      </c>
      <c r="E205" s="42">
        <v>-41</v>
      </c>
    </row>
    <row r="207" spans="1:11" x14ac:dyDescent="0.2">
      <c r="C207" s="52" t="s">
        <v>792</v>
      </c>
    </row>
    <row r="208" spans="1:11" x14ac:dyDescent="0.2">
      <c r="B208" s="16" t="s">
        <v>250</v>
      </c>
      <c r="C208" s="83" cm="1">
        <f t="array" ref="C208:E213">L.QR(C203:E205)</f>
        <v>-0.85714285714285698</v>
      </c>
      <c r="D208" s="83">
        <v>0.39428571428571413</v>
      </c>
      <c r="E208" s="83">
        <v>0.33142857142857141</v>
      </c>
    </row>
    <row r="209" spans="2:7" x14ac:dyDescent="0.2">
      <c r="B209" s="16"/>
      <c r="C209" s="83">
        <v>-0.42857142857142855</v>
      </c>
      <c r="D209" s="83">
        <v>-0.90285714285714258</v>
      </c>
      <c r="E209" s="83">
        <v>-3.4285714285714308E-2</v>
      </c>
    </row>
    <row r="210" spans="2:7" x14ac:dyDescent="0.2">
      <c r="B210" s="16"/>
      <c r="C210" s="83">
        <v>0.2857142857142857</v>
      </c>
      <c r="D210" s="83">
        <v>-0.17142857142857143</v>
      </c>
      <c r="E210" s="83">
        <v>0.94285714285714295</v>
      </c>
    </row>
    <row r="211" spans="2:7" x14ac:dyDescent="0.2">
      <c r="B211" s="16" t="s">
        <v>251</v>
      </c>
      <c r="C211" s="82">
        <v>-13.999999999999998</v>
      </c>
      <c r="D211" s="82">
        <v>-21.000000000000004</v>
      </c>
      <c r="E211" s="82">
        <v>14.000000000000002</v>
      </c>
    </row>
    <row r="212" spans="2:7" x14ac:dyDescent="0.2">
      <c r="C212" s="84">
        <v>-2.2204460492503131E-16</v>
      </c>
      <c r="D212" s="82">
        <v>-174.99999999999994</v>
      </c>
      <c r="E212" s="82">
        <v>69.999999999999972</v>
      </c>
    </row>
    <row r="213" spans="2:7" x14ac:dyDescent="0.2">
      <c r="C213" s="84">
        <v>-8.8817841970012523E-16</v>
      </c>
      <c r="D213" s="84">
        <v>0</v>
      </c>
      <c r="E213" s="82">
        <v>-35</v>
      </c>
    </row>
    <row r="215" spans="2:7" x14ac:dyDescent="0.2">
      <c r="B215" s="57" t="s">
        <v>258</v>
      </c>
    </row>
    <row r="216" spans="2:7" x14ac:dyDescent="0.2">
      <c r="B216" s="61" t="s">
        <v>252</v>
      </c>
    </row>
    <row r="217" spans="2:7" x14ac:dyDescent="0.2">
      <c r="C217" s="51" t="s">
        <v>253</v>
      </c>
      <c r="D217" s="51" t="s">
        <v>254</v>
      </c>
      <c r="E217" s="51" t="s">
        <v>255</v>
      </c>
      <c r="F217" s="51" t="s">
        <v>256</v>
      </c>
      <c r="G217" s="51" t="s">
        <v>257</v>
      </c>
    </row>
    <row r="218" spans="2:7" x14ac:dyDescent="0.2">
      <c r="C218" s="42">
        <v>17</v>
      </c>
      <c r="D218" s="42">
        <v>24</v>
      </c>
      <c r="E218" s="42">
        <v>1</v>
      </c>
      <c r="F218" s="42">
        <v>8</v>
      </c>
      <c r="G218" s="42">
        <v>15</v>
      </c>
    </row>
    <row r="219" spans="2:7" x14ac:dyDescent="0.2">
      <c r="C219" s="42">
        <v>23</v>
      </c>
      <c r="D219" s="42">
        <v>5</v>
      </c>
      <c r="E219" s="42">
        <v>7</v>
      </c>
      <c r="F219" s="42">
        <v>14</v>
      </c>
      <c r="G219" s="42">
        <v>16</v>
      </c>
    </row>
    <row r="220" spans="2:7" x14ac:dyDescent="0.2">
      <c r="C220" s="42">
        <v>4</v>
      </c>
      <c r="D220" s="42">
        <v>6</v>
      </c>
      <c r="E220" s="42">
        <v>13</v>
      </c>
      <c r="F220" s="42">
        <v>20</v>
      </c>
      <c r="G220" s="42">
        <v>22</v>
      </c>
    </row>
    <row r="221" spans="2:7" x14ac:dyDescent="0.2">
      <c r="C221" s="42">
        <v>10</v>
      </c>
      <c r="D221" s="42">
        <v>12</v>
      </c>
      <c r="E221" s="42">
        <v>19</v>
      </c>
      <c r="F221" s="42">
        <v>21</v>
      </c>
      <c r="G221" s="42">
        <v>3</v>
      </c>
    </row>
    <row r="222" spans="2:7" x14ac:dyDescent="0.2">
      <c r="C222" s="42">
        <v>11</v>
      </c>
      <c r="D222" s="42">
        <v>18</v>
      </c>
      <c r="E222" s="42">
        <v>25</v>
      </c>
      <c r="F222" s="42">
        <v>2</v>
      </c>
      <c r="G222" s="42">
        <v>9</v>
      </c>
    </row>
    <row r="224" spans="2:7" x14ac:dyDescent="0.2">
      <c r="C224" s="52" t="s">
        <v>792</v>
      </c>
    </row>
    <row r="225" spans="1:11" x14ac:dyDescent="0.2">
      <c r="B225" s="16" t="s">
        <v>250</v>
      </c>
      <c r="C225" s="83" cm="1">
        <f t="array" ref="C225:G234">L.QR(C218:G222)</f>
        <v>-0.52338671103601753</v>
      </c>
      <c r="D225" s="83">
        <v>0.50575423103413075</v>
      </c>
      <c r="E225" s="83">
        <v>0.67346975905167916</v>
      </c>
      <c r="F225" s="83">
        <v>-0.12154152971143276</v>
      </c>
      <c r="G225" s="83">
        <v>-4.4103839971747827E-2</v>
      </c>
    </row>
    <row r="226" spans="1:11" x14ac:dyDescent="0.2">
      <c r="C226" s="83">
        <v>-0.70811143257814113</v>
      </c>
      <c r="D226" s="83">
        <v>-0.69657342041629688</v>
      </c>
      <c r="E226" s="83">
        <v>-1.7727408849189767E-2</v>
      </c>
      <c r="F226" s="83">
        <v>8.154163165545826E-2</v>
      </c>
      <c r="G226" s="83">
        <v>-8.0002314367356345E-2</v>
      </c>
    </row>
    <row r="227" spans="1:11" x14ac:dyDescent="0.2">
      <c r="C227" s="83">
        <v>-0.12314981436141587</v>
      </c>
      <c r="D227" s="83">
        <v>0.13674184108035367</v>
      </c>
      <c r="E227" s="83">
        <v>-0.35575061750651094</v>
      </c>
      <c r="F227" s="83">
        <v>-0.63074410281693449</v>
      </c>
      <c r="G227" s="83">
        <v>-0.66463461166726789</v>
      </c>
    </row>
    <row r="228" spans="1:11" x14ac:dyDescent="0.2">
      <c r="C228" s="83">
        <v>-0.30787453590353964</v>
      </c>
      <c r="D228" s="83">
        <v>0.19105741558613881</v>
      </c>
      <c r="E228" s="83">
        <v>-0.41223096663067393</v>
      </c>
      <c r="F228" s="83">
        <v>-0.42467160207349364</v>
      </c>
      <c r="G228" s="83">
        <v>0.72002082930620714</v>
      </c>
    </row>
    <row r="229" spans="1:11" x14ac:dyDescent="0.2">
      <c r="C229" s="83">
        <v>-0.33866198949389359</v>
      </c>
      <c r="D229" s="83">
        <v>0.45143865652834558</v>
      </c>
      <c r="E229" s="83">
        <v>-0.49963121491039997</v>
      </c>
      <c r="F229" s="83">
        <v>0.63276735536559015</v>
      </c>
      <c r="G229" s="83">
        <v>-0.17744103058400815</v>
      </c>
    </row>
    <row r="230" spans="1:11" x14ac:dyDescent="0.2">
      <c r="B230" s="16" t="s">
        <v>251</v>
      </c>
      <c r="C230" s="82">
        <v>-32.480763537823435</v>
      </c>
      <c r="D230" s="82">
        <v>-26.631147355656182</v>
      </c>
      <c r="E230" s="82">
        <v>-21.397280245296002</v>
      </c>
      <c r="F230" s="82">
        <v>-23.706339264572552</v>
      </c>
      <c r="G230" s="82">
        <v>-25.86146101589733</v>
      </c>
    </row>
    <row r="231" spans="1:11" x14ac:dyDescent="0.2">
      <c r="C231" s="84">
        <v>-3.5527136788005009E-15</v>
      </c>
      <c r="D231" s="82">
        <v>19.894270293763661</v>
      </c>
      <c r="E231" s="82">
        <v>12.323441531509927</v>
      </c>
      <c r="F231" s="82">
        <v>1.9439258244175701</v>
      </c>
      <c r="G231" s="82">
        <v>4.0855793981325181</v>
      </c>
    </row>
    <row r="232" spans="1:11" x14ac:dyDescent="0.2">
      <c r="C232" s="84">
        <v>0</v>
      </c>
      <c r="D232" s="84">
        <v>-1.7763568394002505E-15</v>
      </c>
      <c r="E232" s="82">
        <v>-24.398548869220097</v>
      </c>
      <c r="F232" s="82">
        <v>-11.631550730670394</v>
      </c>
      <c r="G232" s="82">
        <v>-3.741479575040711</v>
      </c>
    </row>
    <row r="233" spans="1:11" x14ac:dyDescent="0.2">
      <c r="C233" s="84">
        <v>0</v>
      </c>
      <c r="D233" s="84">
        <v>-1.7763568394002505E-15</v>
      </c>
      <c r="E233" s="84">
        <v>1.7763568394002505E-15</v>
      </c>
      <c r="F233" s="82">
        <v>-20.098200383665919</v>
      </c>
      <c r="G233" s="82">
        <v>-9.9739357090868879</v>
      </c>
    </row>
    <row r="234" spans="1:11" x14ac:dyDescent="0.2">
      <c r="C234" s="84">
        <v>1.1102230246251565E-15</v>
      </c>
      <c r="D234" s="84">
        <v>2.2204460492503131E-15</v>
      </c>
      <c r="E234" s="84">
        <v>7.9936057773011271E-15</v>
      </c>
      <c r="F234" s="84">
        <v>5.3845816694320092E-15</v>
      </c>
      <c r="G234" s="82">
        <v>-16.000462873471267</v>
      </c>
    </row>
    <row r="236" spans="1:11" customFormat="1" ht="23.25" x14ac:dyDescent="0.2">
      <c r="A236" s="48" t="s">
        <v>6</v>
      </c>
      <c r="B236" s="12" t="s">
        <v>795</v>
      </c>
      <c r="C236" s="8"/>
      <c r="D236" s="8"/>
      <c r="E236" s="8"/>
      <c r="F236" s="8"/>
      <c r="G236" s="8"/>
      <c r="H236" s="8"/>
      <c r="I236" s="8"/>
      <c r="J236" s="8"/>
      <c r="K236" s="7"/>
    </row>
    <row r="237" spans="1:11" customFormat="1" ht="18" customHeight="1" x14ac:dyDescent="0.2">
      <c r="A237" s="48"/>
      <c r="B237" s="38" t="s">
        <v>426</v>
      </c>
      <c r="C237" s="7"/>
      <c r="D237" s="7"/>
      <c r="E237" s="7"/>
      <c r="F237" s="7"/>
      <c r="G237" s="7"/>
      <c r="H237" s="7"/>
      <c r="I237" s="7"/>
      <c r="J237" s="7"/>
      <c r="K237" s="7"/>
    </row>
    <row r="238" spans="1:11" x14ac:dyDescent="0.2">
      <c r="B238" s="41" t="s">
        <v>513</v>
      </c>
    </row>
    <row r="241" spans="3:9" x14ac:dyDescent="0.2">
      <c r="C241" s="39" t="s">
        <v>432</v>
      </c>
      <c r="D241" s="39"/>
      <c r="E241" s="39"/>
    </row>
    <row r="242" spans="3:9" x14ac:dyDescent="0.2">
      <c r="C242" s="42">
        <v>1</v>
      </c>
      <c r="D242" s="42">
        <v>1</v>
      </c>
      <c r="E242" s="42">
        <v>1</v>
      </c>
      <c r="G242" s="16" t="s">
        <v>427</v>
      </c>
      <c r="H242" s="94" t="b" cm="1">
        <f t="array" ref="H242">L.ISSYMMETRIC(C242:E244)</f>
        <v>1</v>
      </c>
    </row>
    <row r="243" spans="3:9" x14ac:dyDescent="0.2">
      <c r="C243" s="42">
        <v>1</v>
      </c>
      <c r="D243" s="42">
        <v>2</v>
      </c>
      <c r="E243" s="42">
        <v>3</v>
      </c>
      <c r="G243" s="16" t="s">
        <v>428</v>
      </c>
      <c r="H243" s="94" t="b" cm="1">
        <f t="array" ref="H243">L.ISPOSDEF(C242:E244)</f>
        <v>1</v>
      </c>
    </row>
    <row r="244" spans="3:9" x14ac:dyDescent="0.2">
      <c r="C244" s="42">
        <v>1</v>
      </c>
      <c r="D244" s="42">
        <v>3</v>
      </c>
      <c r="E244" s="42">
        <v>6</v>
      </c>
    </row>
    <row r="246" spans="3:9" x14ac:dyDescent="0.2">
      <c r="C246" s="39" t="s">
        <v>429</v>
      </c>
      <c r="D246" s="42">
        <v>20</v>
      </c>
    </row>
    <row r="247" spans="3:9" x14ac:dyDescent="0.2">
      <c r="C247" s="39" t="s">
        <v>433</v>
      </c>
      <c r="D247" s="42" t="s">
        <v>431</v>
      </c>
    </row>
    <row r="248" spans="3:9" x14ac:dyDescent="0.2">
      <c r="C248" s="39" t="s">
        <v>430</v>
      </c>
      <c r="D248" s="42" t="b">
        <v>1</v>
      </c>
    </row>
    <row r="250" spans="3:9" x14ac:dyDescent="0.2">
      <c r="C250" s="118" t="s">
        <v>793</v>
      </c>
      <c r="D250" s="52"/>
      <c r="E250" s="52"/>
      <c r="G250" s="57" t="s">
        <v>434</v>
      </c>
    </row>
    <row r="251" spans="3:9" x14ac:dyDescent="0.2">
      <c r="C251" s="117" cm="1">
        <f t="array" ref="C251:E265">L.EIGENVALUE(C242:E244,D246,D247,D248)</f>
        <v>7.8729833462074241</v>
      </c>
      <c r="D251" s="115">
        <v>-9.532838424251501E-17</v>
      </c>
      <c r="E251" s="115">
        <v>2.5576653835735281E-31</v>
      </c>
      <c r="G251" s="7" t="s">
        <v>437</v>
      </c>
    </row>
    <row r="252" spans="3:9" x14ac:dyDescent="0.2">
      <c r="C252" s="116">
        <v>-2.5963224943826099E-17</v>
      </c>
      <c r="D252" s="117">
        <v>0.12701665379258398</v>
      </c>
      <c r="E252" s="115">
        <v>-1.1783068899607078E-31</v>
      </c>
    </row>
    <row r="253" spans="3:9" x14ac:dyDescent="0.2">
      <c r="C253" s="116">
        <v>0</v>
      </c>
      <c r="D253" s="116">
        <v>0</v>
      </c>
      <c r="E253" s="114">
        <v>1</v>
      </c>
    </row>
    <row r="254" spans="3:9" ht="16.5" x14ac:dyDescent="0.2">
      <c r="C254" s="57" t="str">
        <v>Q</v>
      </c>
      <c r="D254" s="7" t="str">
        <v/>
      </c>
      <c r="E254" s="7" t="str">
        <v/>
      </c>
      <c r="G254" s="7" t="s">
        <v>435</v>
      </c>
    </row>
    <row r="255" spans="3:9" x14ac:dyDescent="0.2">
      <c r="C255" s="115">
        <v>0.19382265552067504</v>
      </c>
      <c r="D255" s="115">
        <v>0.54384383010221515</v>
      </c>
      <c r="E255" s="115">
        <v>-0.81649658092772615</v>
      </c>
      <c r="G255" s="7" cm="1">
        <f t="array" ref="G255:I257">MMULT(MMULT(C255:E257,C251:E253),TRANSPOSE(C255:E257))</f>
        <v>1.000000000000002</v>
      </c>
      <c r="H255" s="7">
        <v>1.0000000000000027</v>
      </c>
      <c r="I255" s="7">
        <v>1.0000000000000049</v>
      </c>
    </row>
    <row r="256" spans="3:9" x14ac:dyDescent="0.2">
      <c r="C256" s="115">
        <v>0.47224728623497281</v>
      </c>
      <c r="D256" s="115">
        <v>-0.78122713341066008</v>
      </c>
      <c r="E256" s="115">
        <v>-0.40824829046386302</v>
      </c>
      <c r="G256" s="7">
        <v>1.0000000000000027</v>
      </c>
      <c r="H256" s="7">
        <v>2.0000000000000062</v>
      </c>
      <c r="I256" s="7">
        <v>3.000000000000008</v>
      </c>
    </row>
    <row r="257" spans="1:11" x14ac:dyDescent="0.2">
      <c r="C257" s="115">
        <v>0.85989259727632195</v>
      </c>
      <c r="D257" s="115">
        <v>0.30646052679377045</v>
      </c>
      <c r="E257" s="115">
        <v>0.40824829046386302</v>
      </c>
      <c r="G257" s="7">
        <v>1.0000000000000049</v>
      </c>
      <c r="H257" s="7">
        <v>3.0000000000000084</v>
      </c>
      <c r="I257" s="7">
        <v>6.0000000000000115</v>
      </c>
    </row>
    <row r="258" spans="1:11" x14ac:dyDescent="0.2">
      <c r="C258" s="57" t="str">
        <v>λ</v>
      </c>
      <c r="D258" s="7" t="str">
        <v/>
      </c>
      <c r="E258" s="7" t="str">
        <v/>
      </c>
    </row>
    <row r="259" spans="1:11" x14ac:dyDescent="0.2">
      <c r="C259" s="115">
        <v>7.8729833462074241</v>
      </c>
      <c r="D259" s="115">
        <v>0.12701665379258398</v>
      </c>
      <c r="E259" s="115">
        <v>1</v>
      </c>
      <c r="G259" s="7" t="s">
        <v>438</v>
      </c>
    </row>
    <row r="260" spans="1:11" x14ac:dyDescent="0.2">
      <c r="C260" s="57" t="str">
        <v>det(A-λI)</v>
      </c>
      <c r="D260" s="7" t="str">
        <v/>
      </c>
      <c r="E260" s="7" t="str">
        <v/>
      </c>
    </row>
    <row r="261" spans="1:11" x14ac:dyDescent="0.2">
      <c r="C261" s="116">
        <v>-3.8459376487179579E-13</v>
      </c>
      <c r="D261" s="116">
        <v>-5.2552073203414065E-15</v>
      </c>
      <c r="E261" s="116">
        <v>0</v>
      </c>
      <c r="G261" s="7" t="s">
        <v>436</v>
      </c>
    </row>
    <row r="262" spans="1:11" x14ac:dyDescent="0.2">
      <c r="C262" s="57" t="str">
        <v>Av/v</v>
      </c>
      <c r="D262" s="7" t="str">
        <v/>
      </c>
      <c r="E262" s="7" t="str">
        <v/>
      </c>
    </row>
    <row r="263" spans="1:11" x14ac:dyDescent="0.2">
      <c r="C263" s="115">
        <v>7.8729833462074073</v>
      </c>
      <c r="D263" s="115">
        <v>0.12701665379258326</v>
      </c>
      <c r="E263" s="115">
        <v>1</v>
      </c>
      <c r="G263" s="7" t="s">
        <v>439</v>
      </c>
    </row>
    <row r="264" spans="1:11" x14ac:dyDescent="0.2">
      <c r="C264" s="115">
        <v>7.8729833462074126</v>
      </c>
      <c r="D264" s="115">
        <v>0.12701665379258287</v>
      </c>
      <c r="E264" s="115">
        <v>1.0000000000000002</v>
      </c>
    </row>
    <row r="265" spans="1:11" x14ac:dyDescent="0.2">
      <c r="C265" s="115">
        <v>7.872983346207417</v>
      </c>
      <c r="D265" s="115">
        <v>0.12701665379258589</v>
      </c>
      <c r="E265" s="115">
        <v>0.99999999999999922</v>
      </c>
    </row>
    <row r="269" spans="1:11" customFormat="1" ht="23.25" x14ac:dyDescent="0.2">
      <c r="A269" s="48" t="s">
        <v>6</v>
      </c>
      <c r="B269" s="12" t="s">
        <v>794</v>
      </c>
      <c r="C269" s="8"/>
      <c r="D269" s="8"/>
      <c r="E269" s="8"/>
      <c r="F269" s="8"/>
      <c r="G269" s="8"/>
      <c r="H269" s="8"/>
      <c r="I269" s="8"/>
      <c r="J269" s="8"/>
      <c r="K269" s="7"/>
    </row>
    <row r="270" spans="1:11" customFormat="1" ht="18" customHeight="1" x14ac:dyDescent="0.2">
      <c r="A270" s="48"/>
      <c r="B270" s="38" t="s">
        <v>260</v>
      </c>
      <c r="C270" s="7"/>
      <c r="D270" s="7"/>
      <c r="E270" s="7"/>
      <c r="F270" s="7"/>
      <c r="G270" s="7"/>
      <c r="H270" s="7"/>
      <c r="I270" s="7"/>
      <c r="J270" s="7"/>
      <c r="K270" s="7"/>
    </row>
    <row r="271" spans="1:11" x14ac:dyDescent="0.2">
      <c r="B271" s="41" t="s">
        <v>514</v>
      </c>
    </row>
    <row r="273" spans="2:11" x14ac:dyDescent="0.2">
      <c r="B273" s="85" t="s">
        <v>261</v>
      </c>
      <c r="C273" s="86" t="s">
        <v>262</v>
      </c>
      <c r="D273" s="86" t="s">
        <v>263</v>
      </c>
      <c r="E273" s="86" t="s">
        <v>264</v>
      </c>
      <c r="F273" s="86" t="s">
        <v>265</v>
      </c>
      <c r="G273" s="86" t="s">
        <v>266</v>
      </c>
      <c r="H273" s="86" t="s">
        <v>267</v>
      </c>
    </row>
    <row r="274" spans="2:11" x14ac:dyDescent="0.2">
      <c r="B274" s="87" t="s">
        <v>268</v>
      </c>
      <c r="C274" s="42" cm="1">
        <f t="array" ref="C274:H279">_xlfn.DROP(L.PASCAL(7),1,1)</f>
        <v>2</v>
      </c>
      <c r="D274" s="42">
        <v>3</v>
      </c>
      <c r="E274" s="42">
        <v>4</v>
      </c>
      <c r="F274" s="42">
        <v>5</v>
      </c>
      <c r="G274" s="42">
        <v>6</v>
      </c>
      <c r="H274" s="42">
        <v>7</v>
      </c>
      <c r="J274" s="40" t="s">
        <v>652</v>
      </c>
      <c r="K274" s="64" t="b" cm="1">
        <f t="array" ref="K274">L.ISPOSDEF(_xlfn.ANCHORARRAY(C274))</f>
        <v>1</v>
      </c>
    </row>
    <row r="275" spans="2:11" x14ac:dyDescent="0.2">
      <c r="B275" s="87" t="s">
        <v>269</v>
      </c>
      <c r="C275" s="42">
        <v>3</v>
      </c>
      <c r="D275" s="42">
        <v>6</v>
      </c>
      <c r="E275" s="42">
        <v>10</v>
      </c>
      <c r="F275" s="42">
        <v>15</v>
      </c>
      <c r="G275" s="42">
        <v>21</v>
      </c>
      <c r="H275" s="42">
        <v>28</v>
      </c>
      <c r="J275" s="40" t="s">
        <v>276</v>
      </c>
      <c r="K275" s="94" t="b" cm="1">
        <f t="array" ref="K275">L.ISSYMMETRIC(_xlfn.ANCHORARRAY(C274))</f>
        <v>1</v>
      </c>
    </row>
    <row r="276" spans="2:11" x14ac:dyDescent="0.2">
      <c r="B276" s="87" t="s">
        <v>270</v>
      </c>
      <c r="C276" s="42">
        <v>4</v>
      </c>
      <c r="D276" s="42">
        <v>10</v>
      </c>
      <c r="E276" s="42">
        <v>20</v>
      </c>
      <c r="F276" s="42">
        <v>35</v>
      </c>
      <c r="G276" s="42">
        <v>56</v>
      </c>
      <c r="H276" s="42">
        <v>84</v>
      </c>
    </row>
    <row r="277" spans="2:11" x14ac:dyDescent="0.2">
      <c r="B277" s="87" t="s">
        <v>271</v>
      </c>
      <c r="C277" s="42">
        <v>5</v>
      </c>
      <c r="D277" s="42">
        <v>15</v>
      </c>
      <c r="E277" s="42">
        <v>35</v>
      </c>
      <c r="F277" s="42">
        <v>70</v>
      </c>
      <c r="G277" s="42">
        <v>126</v>
      </c>
      <c r="H277" s="42">
        <v>210</v>
      </c>
    </row>
    <row r="278" spans="2:11" x14ac:dyDescent="0.2">
      <c r="B278" s="87" t="s">
        <v>272</v>
      </c>
      <c r="C278" s="42">
        <v>6</v>
      </c>
      <c r="D278" s="42">
        <v>21</v>
      </c>
      <c r="E278" s="42">
        <v>56</v>
      </c>
      <c r="F278" s="42">
        <v>126</v>
      </c>
      <c r="G278" s="42">
        <v>252</v>
      </c>
      <c r="H278" s="42">
        <v>462</v>
      </c>
    </row>
    <row r="279" spans="2:11" x14ac:dyDescent="0.2">
      <c r="B279" s="87" t="s">
        <v>273</v>
      </c>
      <c r="C279" s="42">
        <v>7</v>
      </c>
      <c r="D279" s="42">
        <v>28</v>
      </c>
      <c r="E279" s="42">
        <v>84</v>
      </c>
      <c r="F279" s="42">
        <v>210</v>
      </c>
      <c r="G279" s="42">
        <v>462</v>
      </c>
      <c r="H279" s="42">
        <v>924</v>
      </c>
    </row>
    <row r="280" spans="2:11" x14ac:dyDescent="0.2">
      <c r="H280"/>
    </row>
    <row r="281" spans="2:11" x14ac:dyDescent="0.2">
      <c r="C281" s="7" t="s">
        <v>277</v>
      </c>
      <c r="G281"/>
      <c r="H281"/>
    </row>
    <row r="282" spans="2:11" x14ac:dyDescent="0.2">
      <c r="C282" s="89">
        <f>SQRT(C274)</f>
        <v>1.4142135623730951</v>
      </c>
      <c r="D282" s="7">
        <v>0</v>
      </c>
      <c r="E282" s="7">
        <v>0</v>
      </c>
      <c r="F282" s="7">
        <v>0</v>
      </c>
      <c r="G282" s="7">
        <v>0</v>
      </c>
      <c r="H282">
        <v>0</v>
      </c>
    </row>
    <row r="283" spans="2:11" x14ac:dyDescent="0.2">
      <c r="C283" s="84" cm="1">
        <f t="array" ref="C283:C287">C275:C279/C282</f>
        <v>2.1213203435596424</v>
      </c>
      <c r="D283" s="89">
        <f>SQRT(D275-SUMPRODUCT(C283,C283))</f>
        <v>1.2247448713915894</v>
      </c>
      <c r="E283" s="7">
        <v>0</v>
      </c>
      <c r="F283" s="7">
        <v>0</v>
      </c>
      <c r="G283" s="7">
        <v>0</v>
      </c>
      <c r="H283">
        <v>0</v>
      </c>
    </row>
    <row r="284" spans="2:11" x14ac:dyDescent="0.2">
      <c r="C284" s="84">
        <v>2.8284271247461898</v>
      </c>
      <c r="D284" s="90" cm="1">
        <f t="array" ref="D284:D287">1/D283*(D276:D279-MMULT(C284:C287,TRANSPOSE(C283)))</f>
        <v>3.2659863237109041</v>
      </c>
      <c r="E284" s="89">
        <f>SQRT(E276-SUMPRODUCT(C284:D284,C284:D284))</f>
        <v>1.1547005383792526</v>
      </c>
      <c r="F284" s="7">
        <v>0</v>
      </c>
      <c r="G284" s="7">
        <v>0</v>
      </c>
      <c r="H284">
        <v>0</v>
      </c>
    </row>
    <row r="285" spans="2:11" x14ac:dyDescent="0.2">
      <c r="C285" s="84">
        <v>3.5355339059327373</v>
      </c>
      <c r="D285" s="90">
        <v>6.1237243569579443</v>
      </c>
      <c r="E285" s="93" cm="1">
        <f t="array" ref="E285:E287">1/E284*(E277:E279-MMULT(C285:D287,TRANSPOSE(C284:D284)))</f>
        <v>4.3301270189221954</v>
      </c>
      <c r="F285" s="89">
        <f>SQRT(F277-SUMPRODUCT(C285:E285,C285:E285))</f>
        <v>1.1180339887498949</v>
      </c>
      <c r="G285" s="7">
        <v>0</v>
      </c>
      <c r="H285">
        <v>0</v>
      </c>
    </row>
    <row r="286" spans="2:11" x14ac:dyDescent="0.2">
      <c r="C286" s="84">
        <v>4.2426406871192848</v>
      </c>
      <c r="D286" s="90">
        <v>9.7979589711327115</v>
      </c>
      <c r="E286" s="93">
        <v>10.39230484541326</v>
      </c>
      <c r="F286" s="92" cm="1">
        <f t="array" ref="F286:F287">1/F285*(F278:F279-MMULT(C286:E287,TRANSPOSE(C285:E285)))</f>
        <v>5.3665631459994954</v>
      </c>
      <c r="G286" s="89">
        <f>SQRT(G278-SUMPRODUCT(C286:F286,C286:F286))</f>
        <v>1.0954451150103659</v>
      </c>
      <c r="H286">
        <v>0</v>
      </c>
    </row>
    <row r="287" spans="2:11" x14ac:dyDescent="0.2">
      <c r="C287" s="84">
        <v>4.9497474683058327</v>
      </c>
      <c r="D287" s="90">
        <v>14.288690166235202</v>
      </c>
      <c r="E287" s="93">
        <v>20.207259421636891</v>
      </c>
      <c r="F287" s="92">
        <v>15.652475842498554</v>
      </c>
      <c r="G287" s="91" cm="1">
        <f t="array" ref="G287">1/G286*(G279-MMULT(C287:F287,TRANSPOSE(C286:F286)))</f>
        <v>6.3900965042268458</v>
      </c>
      <c r="H287" s="89">
        <f>SQRT(H279-SUMPRODUCT(C287:G287,C287:G287))</f>
        <v>1.0801234497350469</v>
      </c>
    </row>
    <row r="289" spans="3:8" ht="16.5" x14ac:dyDescent="0.2">
      <c r="C289" s="52" t="s">
        <v>275</v>
      </c>
    </row>
    <row r="290" spans="3:8" x14ac:dyDescent="0.2">
      <c r="C290" s="7" cm="1">
        <f t="array" ref="C290:H295">MMULT(C282:H287,TRANSPOSE(C282:H287))</f>
        <v>2.0000000000000004</v>
      </c>
      <c r="D290" s="7">
        <v>3</v>
      </c>
      <c r="E290" s="7">
        <v>4</v>
      </c>
      <c r="F290" s="7">
        <v>5</v>
      </c>
      <c r="G290" s="7">
        <v>6</v>
      </c>
      <c r="H290" s="7">
        <v>7.0000000000000009</v>
      </c>
    </row>
    <row r="291" spans="3:8" x14ac:dyDescent="0.2">
      <c r="C291" s="7">
        <v>3</v>
      </c>
      <c r="D291" s="7">
        <v>6</v>
      </c>
      <c r="E291" s="7">
        <v>10</v>
      </c>
      <c r="F291" s="7">
        <v>15</v>
      </c>
      <c r="G291" s="7">
        <v>21</v>
      </c>
      <c r="H291" s="7">
        <v>28</v>
      </c>
    </row>
    <row r="292" spans="3:8" x14ac:dyDescent="0.2">
      <c r="C292" s="7">
        <v>4</v>
      </c>
      <c r="D292" s="7">
        <v>10</v>
      </c>
      <c r="E292" s="7">
        <v>20</v>
      </c>
      <c r="F292" s="7">
        <v>35</v>
      </c>
      <c r="G292" s="7">
        <v>56</v>
      </c>
      <c r="H292" s="7">
        <v>84</v>
      </c>
    </row>
    <row r="293" spans="3:8" x14ac:dyDescent="0.2">
      <c r="C293" s="7">
        <v>5</v>
      </c>
      <c r="D293" s="7">
        <v>15</v>
      </c>
      <c r="E293" s="7">
        <v>35</v>
      </c>
      <c r="F293" s="7">
        <v>70</v>
      </c>
      <c r="G293" s="7">
        <v>126</v>
      </c>
      <c r="H293" s="7">
        <v>210</v>
      </c>
    </row>
    <row r="294" spans="3:8" x14ac:dyDescent="0.2">
      <c r="C294" s="7">
        <v>6</v>
      </c>
      <c r="D294" s="7">
        <v>21</v>
      </c>
      <c r="E294" s="7">
        <v>56</v>
      </c>
      <c r="F294" s="7">
        <v>126</v>
      </c>
      <c r="G294" s="7">
        <v>252</v>
      </c>
      <c r="H294" s="7">
        <v>462</v>
      </c>
    </row>
    <row r="295" spans="3:8" x14ac:dyDescent="0.2">
      <c r="C295" s="7">
        <v>7.0000000000000009</v>
      </c>
      <c r="D295" s="7">
        <v>28</v>
      </c>
      <c r="E295" s="7">
        <v>84</v>
      </c>
      <c r="F295" s="7">
        <v>210</v>
      </c>
      <c r="G295" s="7">
        <v>462</v>
      </c>
      <c r="H295" s="7">
        <v>924</v>
      </c>
    </row>
    <row r="297" spans="3:8" x14ac:dyDescent="0.2">
      <c r="C297" s="52" t="s">
        <v>274</v>
      </c>
    </row>
    <row r="298" spans="3:8" x14ac:dyDescent="0.2">
      <c r="C298" s="82" cm="1">
        <f t="array" ref="C298:H303">L.CHOLESKY(_xlfn.ANCHORARRAY(C274))</f>
        <v>1.4142135623730951</v>
      </c>
      <c r="D298" s="82">
        <v>0</v>
      </c>
      <c r="E298" s="82">
        <v>0</v>
      </c>
      <c r="F298" s="82">
        <v>0</v>
      </c>
      <c r="G298" s="82">
        <v>0</v>
      </c>
      <c r="H298" s="82">
        <v>0</v>
      </c>
    </row>
    <row r="299" spans="3:8" x14ac:dyDescent="0.2">
      <c r="C299" s="82">
        <v>2.1213203435596424</v>
      </c>
      <c r="D299" s="82">
        <v>1.2247448713915894</v>
      </c>
      <c r="E299" s="82">
        <v>0</v>
      </c>
      <c r="F299" s="82">
        <v>0</v>
      </c>
      <c r="G299" s="82">
        <v>0</v>
      </c>
      <c r="H299" s="82">
        <v>0</v>
      </c>
    </row>
    <row r="300" spans="3:8" x14ac:dyDescent="0.2">
      <c r="C300" s="82">
        <v>2.8284271247461898</v>
      </c>
      <c r="D300" s="82">
        <v>3.2659863237109041</v>
      </c>
      <c r="E300" s="82">
        <v>1.1547005383792526</v>
      </c>
      <c r="F300" s="82">
        <v>0</v>
      </c>
      <c r="G300" s="82">
        <v>0</v>
      </c>
      <c r="H300" s="82">
        <v>0</v>
      </c>
    </row>
    <row r="301" spans="3:8" x14ac:dyDescent="0.2">
      <c r="C301" s="82">
        <v>3.5355339059327373</v>
      </c>
      <c r="D301" s="82">
        <v>6.1237243569579443</v>
      </c>
      <c r="E301" s="82">
        <v>4.3301270189221954</v>
      </c>
      <c r="F301" s="82">
        <v>1.1180339887498949</v>
      </c>
      <c r="G301" s="82">
        <v>0</v>
      </c>
      <c r="H301" s="82">
        <v>0</v>
      </c>
    </row>
    <row r="302" spans="3:8" x14ac:dyDescent="0.2">
      <c r="C302" s="82">
        <v>4.2426406871192848</v>
      </c>
      <c r="D302" s="82">
        <v>9.7979589711327115</v>
      </c>
      <c r="E302" s="82">
        <v>10.39230484541326</v>
      </c>
      <c r="F302" s="82">
        <v>5.3665631459994954</v>
      </c>
      <c r="G302" s="82">
        <v>1.0954451150103659</v>
      </c>
      <c r="H302" s="82">
        <v>0</v>
      </c>
    </row>
    <row r="303" spans="3:8" x14ac:dyDescent="0.2">
      <c r="C303" s="82">
        <v>4.9497474683058327</v>
      </c>
      <c r="D303" s="82">
        <v>14.288690166235202</v>
      </c>
      <c r="E303" s="82">
        <v>20.207259421636891</v>
      </c>
      <c r="F303" s="82">
        <v>15.652475842498554</v>
      </c>
      <c r="G303" s="82">
        <v>6.3900965042268458</v>
      </c>
      <c r="H303" s="82">
        <v>1.0801234497350469</v>
      </c>
    </row>
    <row r="305" spans="1:11" x14ac:dyDescent="0.2">
      <c r="C305" s="7" t="s">
        <v>278</v>
      </c>
    </row>
    <row r="306" spans="1:11" x14ac:dyDescent="0.2">
      <c r="B306" s="16" t="s">
        <v>279</v>
      </c>
      <c r="C306" s="95">
        <v>1</v>
      </c>
      <c r="D306" s="7">
        <v>0</v>
      </c>
      <c r="E306" s="7">
        <v>0</v>
      </c>
      <c r="F306" s="7">
        <v>0</v>
      </c>
      <c r="G306" s="7">
        <v>0</v>
      </c>
      <c r="H306">
        <v>0</v>
      </c>
    </row>
    <row r="307" spans="1:11" x14ac:dyDescent="0.2">
      <c r="C307" s="84" cm="1">
        <f t="array" ref="C307:C311">1/C312*C275:C279</f>
        <v>1.5</v>
      </c>
      <c r="D307" s="95">
        <v>1</v>
      </c>
      <c r="E307" s="7">
        <v>0</v>
      </c>
      <c r="F307" s="7">
        <v>0</v>
      </c>
      <c r="G307" s="7">
        <v>0</v>
      </c>
      <c r="H307">
        <v>0</v>
      </c>
    </row>
    <row r="308" spans="1:11" x14ac:dyDescent="0.2">
      <c r="C308" s="84">
        <v>2</v>
      </c>
      <c r="D308" s="90" cm="1">
        <f t="array" ref="D308:D311">1/D312*(D276:D279-MMULT(C308:C311,TRANSPOSE(C307*C312)))</f>
        <v>2.6666666666666665</v>
      </c>
      <c r="E308" s="95">
        <v>1</v>
      </c>
      <c r="F308" s="7">
        <v>0</v>
      </c>
      <c r="G308" s="7">
        <v>0</v>
      </c>
      <c r="H308">
        <v>0</v>
      </c>
    </row>
    <row r="309" spans="1:11" x14ac:dyDescent="0.2">
      <c r="C309" s="84">
        <v>2.5</v>
      </c>
      <c r="D309" s="90">
        <v>5</v>
      </c>
      <c r="E309" s="93" cm="1">
        <f t="array" ref="E309:E311">1/E312*(E277:E279-MMULT(C309:D311,TRANSPOSE(C308:D308*C312:D312)))</f>
        <v>3.7499999999999933</v>
      </c>
      <c r="F309" s="95">
        <v>1</v>
      </c>
      <c r="G309" s="7">
        <v>0</v>
      </c>
      <c r="H309">
        <v>0</v>
      </c>
    </row>
    <row r="310" spans="1:11" x14ac:dyDescent="0.2">
      <c r="C310" s="84">
        <v>3</v>
      </c>
      <c r="D310" s="90">
        <v>8</v>
      </c>
      <c r="E310" s="93">
        <v>8.999999999999984</v>
      </c>
      <c r="F310" s="92" cm="1">
        <f t="array" ref="F310:F311">1/F312*(F278:F279-MMULT(C310:E311,TRANSPOSE(C309:E309*C312:E312)))</f>
        <v>4.799999999999959</v>
      </c>
      <c r="G310" s="95">
        <v>1</v>
      </c>
      <c r="H310">
        <v>0</v>
      </c>
    </row>
    <row r="311" spans="1:11" x14ac:dyDescent="0.2">
      <c r="C311" s="84">
        <v>3.5</v>
      </c>
      <c r="D311" s="90">
        <v>11.666666666666666</v>
      </c>
      <c r="E311" s="93">
        <v>17.499999999999972</v>
      </c>
      <c r="F311" s="92">
        <v>13.999999999999796</v>
      </c>
      <c r="G311" s="91" cm="1">
        <f t="array" ref="G311">1/G312*(G279-MMULT(C311:F311,TRANSPOSE(C310:F310*C312:F312)))</f>
        <v>5.8333333333333961</v>
      </c>
      <c r="H311" s="95">
        <v>1</v>
      </c>
    </row>
    <row r="312" spans="1:11" x14ac:dyDescent="0.2">
      <c r="B312" s="16" t="s">
        <v>280</v>
      </c>
      <c r="C312" s="89">
        <f>C274</f>
        <v>2</v>
      </c>
      <c r="D312" s="89">
        <f>D275-SUMPRODUCT(C312,C307,C307)</f>
        <v>1.5</v>
      </c>
      <c r="E312" s="89">
        <f>E276-SUMPRODUCT(C312:D312,C308:D308,C308:D308)</f>
        <v>1.3333333333333357</v>
      </c>
      <c r="F312" s="89">
        <f>F277-SUMPRODUCT(C312:E312,C309:E309,C309:E309)</f>
        <v>1.2500000000000284</v>
      </c>
      <c r="G312" s="89">
        <f>G278-SUMPRODUCT(C312:F312,C310:F310,C310:F310)</f>
        <v>1.2000000000000455</v>
      </c>
      <c r="H312" s="89">
        <f>H279-SUMPRODUCT(C312:G312,C311:G311,C311:G311)</f>
        <v>1.1666666666665151</v>
      </c>
    </row>
    <row r="319" spans="1:11" customFormat="1" ht="18" customHeight="1" x14ac:dyDescent="0.2">
      <c r="A319" s="88" t="s">
        <v>6</v>
      </c>
      <c r="B319" s="13"/>
      <c r="C319" s="14"/>
      <c r="D319" s="6"/>
      <c r="E319" s="6"/>
      <c r="F319" s="6"/>
      <c r="G319" s="6"/>
      <c r="H319" s="6"/>
      <c r="I319" s="6"/>
      <c r="J319" s="6"/>
      <c r="K319" s="7"/>
    </row>
  </sheetData>
  <mergeCells count="3">
    <mergeCell ref="B5:J7"/>
    <mergeCell ref="I1:J1"/>
    <mergeCell ref="B11:J12"/>
  </mergeCells>
  <dataValidations disablePrompts="1" count="2">
    <dataValidation type="list" allowBlank="1" showInputMessage="1" showErrorMessage="1" sqref="D248" xr:uid="{695DE318-395B-4FD8-8861-AFA862997E79}">
      <formula1>",TRUE,FALSE,"</formula1>
    </dataValidation>
    <dataValidation type="list" allowBlank="1" showInputMessage="1" showErrorMessage="1" sqref="D247" xr:uid="{9680ADB9-8B32-4939-BDFB-E27A2D37A526}">
      <formula1>",U,UQ,test"</formula1>
    </dataValidation>
  </dataValidations>
  <hyperlinks>
    <hyperlink ref="B2" r:id="rId1" xr:uid="{C4C11887-F571-4434-AB0B-C5A7FAFD2C79}"/>
    <hyperlink ref="B63" r:id="rId2" xr:uid="{03D4CE22-BF9F-4BB9-8A93-5F71DE609D77}"/>
    <hyperlink ref="B77" r:id="rId3" xr:uid="{6DC6CEBB-376C-4D52-AC42-4708E95088DD}"/>
    <hyperlink ref="B86" r:id="rId4" xr:uid="{D6F7EE75-B813-4EAC-A278-F620189A3EEE}"/>
    <hyperlink ref="B97" r:id="rId5" xr:uid="{213B0EB5-FA28-4CAD-911C-D04475A716E9}"/>
    <hyperlink ref="B109" r:id="rId6" xr:uid="{F2D98033-86F9-423A-AEA1-4A86B8C07831}"/>
    <hyperlink ref="B37" r:id="rId7" xr:uid="{905D3B65-7ECE-42FE-AA19-D946F6F68DD0}"/>
    <hyperlink ref="B124" r:id="rId8" xr:uid="{62ACE75A-3E65-4EE8-8C61-940C2AFB9275}"/>
    <hyperlink ref="B143" r:id="rId9" xr:uid="{A1045D63-B1E5-44FF-B81A-9B78E5363E30}"/>
    <hyperlink ref="B153" r:id="rId10" xr:uid="{0346446C-FC4D-49E3-949E-E5B0AECEC0A8}"/>
    <hyperlink ref="B167" r:id="rId11" xr:uid="{C68A5A05-F584-4386-8BDA-FEE9BD0DD8AE}"/>
    <hyperlink ref="B171" r:id="rId12" xr:uid="{A95F3540-F431-4AE7-BA5D-01052B089C5E}"/>
    <hyperlink ref="B185" r:id="rId13" xr:uid="{DA04E7D8-06DF-4BBF-9BBE-210060A8ED1A}"/>
    <hyperlink ref="B197" r:id="rId14" xr:uid="{916CF984-6333-415E-B377-6DC53CE9D718}"/>
    <hyperlink ref="B201" r:id="rId15" xr:uid="{74CC10D9-0D97-41A0-9A3D-1C9AED95F844}"/>
    <hyperlink ref="B216" r:id="rId16" xr:uid="{F615DCDC-66C8-49D1-825B-96B4D7485521}"/>
    <hyperlink ref="B270" r:id="rId17" xr:uid="{35D7335C-97DB-4E24-B95A-A966CA02793A}"/>
    <hyperlink ref="B237" r:id="rId18" xr:uid="{40A841DD-59C2-4C90-B0DD-F516CD745525}"/>
  </hyperlinks>
  <pageMargins left="0.7" right="0.7" top="0.75" bottom="0.75" header="0.3" footer="0.3"/>
  <pageSetup paperSize="0" orientation="portrait" horizontalDpi="203" verticalDpi="203"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191A-431A-46AD-A93A-57ACE9E9B314}">
  <dimension ref="A1:W224"/>
  <sheetViews>
    <sheetView showGridLines="0" workbookViewId="0"/>
  </sheetViews>
  <sheetFormatPr defaultRowHeight="15" x14ac:dyDescent="0.2"/>
  <cols>
    <col min="1" max="1" width="4.5" style="48" customWidth="1"/>
    <col min="2" max="2" width="11.125" style="7" customWidth="1"/>
    <col min="3" max="20" width="11.25" style="7" customWidth="1"/>
    <col min="21" max="16384" width="9" style="7"/>
  </cols>
  <sheetData>
    <row r="1" spans="1:11" ht="36.950000000000003" customHeight="1" x14ac:dyDescent="0.2">
      <c r="A1" s="49"/>
      <c r="B1" s="2" t="s">
        <v>121</v>
      </c>
      <c r="C1" s="2"/>
      <c r="D1" s="2"/>
      <c r="E1" s="2"/>
      <c r="F1" s="2"/>
      <c r="G1" s="2"/>
      <c r="H1" s="2"/>
      <c r="I1" s="209" t="e" vm="1">
        <v>#VALUE!</v>
      </c>
      <c r="J1" s="209"/>
    </row>
    <row r="2" spans="1:11" ht="18" customHeight="1" x14ac:dyDescent="0.2">
      <c r="B2" s="46" t="s">
        <v>55</v>
      </c>
      <c r="J2" s="47" t="s">
        <v>909</v>
      </c>
    </row>
    <row r="3" spans="1:11" ht="18" customHeight="1" x14ac:dyDescent="0.2"/>
    <row r="4" spans="1:11" ht="18" customHeight="1" x14ac:dyDescent="0.2">
      <c r="B4" s="21" t="s">
        <v>85</v>
      </c>
    </row>
    <row r="5" spans="1:11" ht="18" customHeight="1" x14ac:dyDescent="0.2">
      <c r="B5" s="212" t="s">
        <v>86</v>
      </c>
      <c r="C5" s="212"/>
      <c r="D5" s="212"/>
      <c r="E5" s="212"/>
      <c r="F5" s="212"/>
      <c r="G5" s="212"/>
      <c r="H5" s="212"/>
      <c r="I5" s="212"/>
      <c r="J5" s="212"/>
    </row>
    <row r="6" spans="1:11" ht="18" customHeight="1" x14ac:dyDescent="0.2">
      <c r="B6" s="212"/>
      <c r="C6" s="212"/>
      <c r="D6" s="212"/>
      <c r="E6" s="212"/>
      <c r="F6" s="212"/>
      <c r="G6" s="212"/>
      <c r="H6" s="212"/>
      <c r="I6" s="212"/>
      <c r="J6" s="212"/>
    </row>
    <row r="7" spans="1:11" ht="18" customHeight="1" x14ac:dyDescent="0.2">
      <c r="B7" s="212"/>
      <c r="C7" s="212"/>
      <c r="D7" s="212"/>
      <c r="E7" s="212"/>
      <c r="F7" s="212"/>
      <c r="G7" s="212"/>
      <c r="H7" s="212"/>
      <c r="I7" s="212"/>
      <c r="J7" s="212"/>
    </row>
    <row r="10" spans="1:11" customFormat="1" ht="23.25" x14ac:dyDescent="0.2">
      <c r="A10" s="7" t="s">
        <v>6</v>
      </c>
      <c r="B10" s="12" t="s">
        <v>811</v>
      </c>
      <c r="C10" s="8"/>
      <c r="D10" s="8"/>
      <c r="E10" s="8"/>
      <c r="F10" s="8"/>
      <c r="G10" s="8"/>
      <c r="H10" s="8"/>
      <c r="I10" s="8"/>
      <c r="J10" s="8"/>
      <c r="K10" s="7"/>
    </row>
    <row r="11" spans="1:11" customFormat="1" ht="18" customHeight="1" x14ac:dyDescent="0.2">
      <c r="A11" s="7"/>
      <c r="B11" s="38" t="s">
        <v>475</v>
      </c>
      <c r="C11" s="7"/>
      <c r="D11" s="7"/>
      <c r="E11" s="7"/>
      <c r="F11" s="7"/>
      <c r="G11" s="7"/>
      <c r="H11" s="7"/>
      <c r="I11" s="7"/>
      <c r="J11" s="7"/>
      <c r="K11" s="7"/>
    </row>
    <row r="12" spans="1:11" x14ac:dyDescent="0.2">
      <c r="B12" s="41" t="s">
        <v>476</v>
      </c>
    </row>
    <row r="15" spans="1:11" ht="16.5" x14ac:dyDescent="0.2">
      <c r="C15" s="77" t="s">
        <v>328</v>
      </c>
      <c r="D15" s="77" t="s">
        <v>351</v>
      </c>
      <c r="E15" s="45"/>
      <c r="F15" s="52" t="s">
        <v>477</v>
      </c>
      <c r="G15" s="52" t="s">
        <v>478</v>
      </c>
      <c r="I15" s="52" t="s">
        <v>479</v>
      </c>
      <c r="J15"/>
    </row>
    <row r="16" spans="1:11" x14ac:dyDescent="0.2">
      <c r="C16" s="76" cm="1">
        <f t="array" ref="C16:C23">L.SE(2,9)</f>
        <v>2</v>
      </c>
      <c r="D16" s="76" cm="1">
        <f t="array" ref="D16:D23">_xlfn.ANCHORARRAY(C16)^2-3*_xlfn.ANCHORARRAY(C16)+2</f>
        <v>0</v>
      </c>
      <c r="E16" s="45"/>
      <c r="F16" s="45" cm="1">
        <f t="array" ref="F16:F22">L.DIFF(_xlfn.ANCHORARRAY(C16))</f>
        <v>1</v>
      </c>
      <c r="G16" s="45" cm="1">
        <f t="array" ref="G16:G22">L.DIFF(D16:D23)</f>
        <v>2</v>
      </c>
      <c r="I16" s="45" cm="1">
        <f t="array" ref="I16:I21">L.DIFF(_xlfn.ANCHORARRAY(D16),2)</f>
        <v>2</v>
      </c>
      <c r="J16"/>
    </row>
    <row r="17" spans="1:23" x14ac:dyDescent="0.2">
      <c r="C17" s="76">
        <v>3</v>
      </c>
      <c r="D17" s="76">
        <v>2</v>
      </c>
      <c r="E17" s="45"/>
      <c r="F17" s="45">
        <v>1</v>
      </c>
      <c r="G17" s="45">
        <v>4</v>
      </c>
      <c r="I17" s="45">
        <v>2</v>
      </c>
      <c r="J17"/>
    </row>
    <row r="18" spans="1:23" x14ac:dyDescent="0.2">
      <c r="C18" s="76">
        <v>4</v>
      </c>
      <c r="D18" s="76">
        <v>6</v>
      </c>
      <c r="E18" s="45"/>
      <c r="F18" s="45">
        <v>1</v>
      </c>
      <c r="G18" s="45">
        <v>6</v>
      </c>
      <c r="I18" s="45">
        <v>2</v>
      </c>
      <c r="J18"/>
    </row>
    <row r="19" spans="1:23" x14ac:dyDescent="0.2">
      <c r="C19" s="76">
        <v>5</v>
      </c>
      <c r="D19" s="76">
        <v>12</v>
      </c>
      <c r="E19" s="45"/>
      <c r="F19" s="45">
        <v>1</v>
      </c>
      <c r="G19" s="45">
        <v>8</v>
      </c>
      <c r="I19" s="45">
        <v>2</v>
      </c>
    </row>
    <row r="20" spans="1:23" x14ac:dyDescent="0.2">
      <c r="C20" s="76">
        <v>6</v>
      </c>
      <c r="D20" s="76">
        <v>20</v>
      </c>
      <c r="E20" s="45"/>
      <c r="F20" s="45">
        <v>1</v>
      </c>
      <c r="G20" s="45">
        <v>10</v>
      </c>
      <c r="I20" s="45">
        <v>2</v>
      </c>
    </row>
    <row r="21" spans="1:23" x14ac:dyDescent="0.2">
      <c r="C21" s="76">
        <v>7</v>
      </c>
      <c r="D21" s="76">
        <v>30</v>
      </c>
      <c r="E21" s="45"/>
      <c r="F21" s="45">
        <v>1</v>
      </c>
      <c r="G21" s="45">
        <v>12</v>
      </c>
      <c r="I21" s="45">
        <v>2</v>
      </c>
    </row>
    <row r="22" spans="1:23" x14ac:dyDescent="0.2">
      <c r="C22" s="76">
        <v>8</v>
      </c>
      <c r="D22" s="76">
        <v>42</v>
      </c>
      <c r="E22" s="45"/>
      <c r="F22" s="45">
        <v>1</v>
      </c>
      <c r="G22" s="45">
        <v>14</v>
      </c>
    </row>
    <row r="23" spans="1:23" x14ac:dyDescent="0.2">
      <c r="C23" s="76">
        <v>9</v>
      </c>
      <c r="D23" s="76">
        <v>56</v>
      </c>
      <c r="E23" s="45"/>
      <c r="F23" s="45"/>
      <c r="G23" s="45"/>
    </row>
    <row r="26" spans="1:23" customFormat="1" ht="23.25" x14ac:dyDescent="0.2">
      <c r="A26" s="7" t="s">
        <v>6</v>
      </c>
      <c r="B26" s="12" t="s">
        <v>810</v>
      </c>
      <c r="C26" s="8"/>
      <c r="D26" s="8"/>
      <c r="E26" s="8"/>
      <c r="F26" s="8"/>
      <c r="G26" s="8"/>
      <c r="H26" s="8"/>
      <c r="I26" s="8"/>
      <c r="J26" s="8"/>
      <c r="K26" s="7"/>
    </row>
    <row r="27" spans="1:23" customFormat="1" ht="18" customHeight="1" x14ac:dyDescent="0.2">
      <c r="A27" s="7"/>
      <c r="B27" s="38" t="s">
        <v>525</v>
      </c>
      <c r="C27" s="7"/>
      <c r="D27" s="7"/>
      <c r="E27" s="7"/>
      <c r="F27" s="7"/>
      <c r="G27" s="7"/>
      <c r="H27" s="7"/>
      <c r="I27" s="7"/>
      <c r="J27" s="7"/>
      <c r="K27" s="7"/>
    </row>
    <row r="28" spans="1:23" x14ac:dyDescent="0.2">
      <c r="B28" s="41" t="s">
        <v>526</v>
      </c>
    </row>
    <row r="30" spans="1:23" x14ac:dyDescent="0.2">
      <c r="B30" s="57" t="s">
        <v>527</v>
      </c>
      <c r="R30" s="77" t="s">
        <v>545</v>
      </c>
      <c r="S30" s="76">
        <v>2</v>
      </c>
    </row>
    <row r="31" spans="1:23" x14ac:dyDescent="0.2">
      <c r="I31" s="57" t="s">
        <v>546</v>
      </c>
      <c r="Q31" s="57" t="s">
        <v>544</v>
      </c>
    </row>
    <row r="32" spans="1:23" ht="16.5" x14ac:dyDescent="0.2">
      <c r="B32" s="77" t="s">
        <v>443</v>
      </c>
      <c r="C32" s="77" t="s">
        <v>328</v>
      </c>
      <c r="D32" s="77" t="s">
        <v>528</v>
      </c>
      <c r="E32" s="77" t="s">
        <v>529</v>
      </c>
      <c r="F32" s="77" t="s">
        <v>530</v>
      </c>
      <c r="G32" s="77" t="s">
        <v>531</v>
      </c>
      <c r="I32" s="52" t="s">
        <v>533</v>
      </c>
      <c r="J32" s="45"/>
      <c r="K32" s="52" t="s">
        <v>534</v>
      </c>
      <c r="M32" s="52" t="s">
        <v>535</v>
      </c>
      <c r="O32" s="52" t="s">
        <v>536</v>
      </c>
      <c r="Q32" s="52" t="s">
        <v>533</v>
      </c>
      <c r="S32" s="52" t="s">
        <v>534</v>
      </c>
      <c r="U32" s="52" t="s">
        <v>535</v>
      </c>
      <c r="W32" s="52" t="s">
        <v>536</v>
      </c>
    </row>
    <row r="33" spans="2:23" x14ac:dyDescent="0.2">
      <c r="B33" s="76">
        <f>-PI()/2</f>
        <v>-1.5707963267948966</v>
      </c>
      <c r="C33" s="125" cm="1">
        <f t="array" ref="C33:C63">L.LINSPACE(B33,B35,31)</f>
        <v>-1.5707963267948966</v>
      </c>
      <c r="D33" s="16" cm="1">
        <f t="array" ref="D33:D63">SIN(_xlfn.ANCHORARRAY(C33))</f>
        <v>-1</v>
      </c>
      <c r="E33" s="16" cm="1">
        <f t="array" ref="E33:E63">COS(_xlfn.ANCHORARRAY(C33))</f>
        <v>6.1257422745431001E-17</v>
      </c>
      <c r="F33" s="124" cm="1">
        <f t="array" ref="F33:F63">-SIN(_xlfn.ANCHORARRAY(C33))</f>
        <v>1</v>
      </c>
      <c r="G33" s="124" cm="1">
        <f t="array" ref="G33:G63">-COS(_xlfn.ANCHORARRAY(C33))</f>
        <v>-6.1257422745431001E-17</v>
      </c>
      <c r="H33" s="126">
        <f>ABS(I33-$E33)</f>
        <v>9.649688805327026E-4</v>
      </c>
      <c r="I33" s="7" cm="1">
        <f t="array" ref="I33:I63">L.FDIFF(_xlfn.ANCHORARRAY(D33),B38,1)</f>
        <v>9.6496888053276386E-4</v>
      </c>
      <c r="J33" s="126">
        <f>ABS(K33-$F33)</f>
        <v>2.2215722472485933E-2</v>
      </c>
      <c r="K33" s="7" cm="1">
        <f t="array" ref="K33:K63">L.FDIFF(_xlfn.ANCHORARRAY(D33),B38,2)</f>
        <v>1.0222157224724859</v>
      </c>
      <c r="L33" s="126">
        <f>ABS(M33-$G33)</f>
        <v>9.5587279784235483E-3</v>
      </c>
      <c r="M33" s="7" cm="1">
        <f t="array" ref="M33:M63">L.FDIFF(_xlfn.ANCHORARRAY(D33),B38,3)</f>
        <v>-9.558727978423609E-3</v>
      </c>
      <c r="N33" s="126">
        <f>ABS(O33-$D33)</f>
        <v>6.6759688518299942E-2</v>
      </c>
      <c r="O33" s="7" cm="1">
        <f t="array" ref="O33:O63">L.FDIFF(_xlfn.ANCHORARRAY(D33),B38,4)</f>
        <v>-1.0667596885182999</v>
      </c>
      <c r="P33" s="126">
        <f>ABS(Q33-$E33)</f>
        <v>9.6496888053268742E-4</v>
      </c>
      <c r="Q33" s="7" cm="1">
        <f t="array" ref="Q33:Q63">L.PDIFF(_xlfn.ANCHORARRAY($C33),_xlfn.ANCHORARRAY($D33),1,$S$30)</f>
        <v>9.6496888053274868E-4</v>
      </c>
      <c r="R33" s="126">
        <f>ABS(S33-$F33)</f>
        <v>2.2215722472473276E-2</v>
      </c>
      <c r="S33" s="7" cm="1">
        <f t="array" ref="S33:S63">L.PDIFF(_xlfn.ANCHORARRAY($C33),_xlfn.ANCHORARRAY($D33),2,$S$30)</f>
        <v>1.0222157224724733</v>
      </c>
      <c r="T33" s="126">
        <f>ABS(U33-$G33)</f>
        <v>9.5587279783016215E-3</v>
      </c>
      <c r="U33" s="7" cm="1">
        <f t="array" ref="U33:U63">L.PDIFF(_xlfn.ANCHORARRAY($C33),_xlfn.ANCHORARRAY($D33),3,$S$30)</f>
        <v>-9.5587279783016822E-3</v>
      </c>
      <c r="V33" s="126">
        <f>ABS(W33-$D33)</f>
        <v>6.6759688515573901E-2</v>
      </c>
      <c r="W33" s="7" cm="1">
        <f t="array" ref="W33:W63">L.PDIFF(_xlfn.ANCHORARRAY($C33),_xlfn.ANCHORARRAY($D33),4,$S$30)</f>
        <v>-1.0667596885155739</v>
      </c>
    </row>
    <row r="34" spans="2:23" x14ac:dyDescent="0.2">
      <c r="B34" s="77" t="s">
        <v>474</v>
      </c>
      <c r="C34" s="125">
        <v>-1.4137166941154069</v>
      </c>
      <c r="D34" s="16">
        <v>-0.98768834059513777</v>
      </c>
      <c r="E34" s="16">
        <v>0.15643446504023092</v>
      </c>
      <c r="F34" s="124">
        <v>0.98768834059513777</v>
      </c>
      <c r="G34" s="124">
        <v>-0.15643446504023092</v>
      </c>
      <c r="H34" s="126">
        <f t="shared" ref="H34:H63" si="0">ABS(I34-$E34)</f>
        <v>6.4251776495199975E-4</v>
      </c>
      <c r="I34" s="7">
        <v>0.15579194727527892</v>
      </c>
      <c r="J34" s="126">
        <f t="shared" ref="J34:J63" si="1">ABS(K34-$F34)</f>
        <v>2.0291831749003064E-3</v>
      </c>
      <c r="K34" s="7">
        <v>0.98565915742023746</v>
      </c>
      <c r="L34" s="126">
        <f t="shared" ref="L34:L63" si="2">ABS(M34-$G34)</f>
        <v>1.902658433321075E-3</v>
      </c>
      <c r="M34" s="7">
        <v>-0.158337123473552</v>
      </c>
      <c r="N34" s="126">
        <f t="shared" ref="N34:N63" si="3">ABS(O34-$D34)</f>
        <v>1.9267845030260577E-2</v>
      </c>
      <c r="O34" s="7">
        <v>-1.0069561856253983</v>
      </c>
      <c r="P34" s="126">
        <f t="shared" ref="P34:P63" si="4">ABS(Q34-$E34)</f>
        <v>6.4251776495205526E-4</v>
      </c>
      <c r="Q34" s="7">
        <v>0.15579194727527887</v>
      </c>
      <c r="R34" s="126">
        <f t="shared" ref="R34:R63" si="5">ABS(S34-$F34)</f>
        <v>2.0291831748993072E-3</v>
      </c>
      <c r="S34" s="7">
        <v>0.98565915742023846</v>
      </c>
      <c r="T34" s="126">
        <f t="shared" ref="T34:T63" si="6">ABS(U34-$G34)</f>
        <v>1.9026584331417462E-3</v>
      </c>
      <c r="U34" s="7">
        <v>-0.15833712347337267</v>
      </c>
      <c r="V34" s="126">
        <f t="shared" ref="V34:V63" si="7">ABS(W34-$D34)</f>
        <v>1.9267845029133257E-2</v>
      </c>
      <c r="W34" s="7">
        <v>-1.006956185624271</v>
      </c>
    </row>
    <row r="35" spans="2:23" x14ac:dyDescent="0.2">
      <c r="B35" s="76">
        <f>B33+3*PI()/2</f>
        <v>3.1415926535897931</v>
      </c>
      <c r="C35" s="125">
        <v>-1.2566370614359172</v>
      </c>
      <c r="D35" s="16">
        <v>-0.95105651629515353</v>
      </c>
      <c r="E35" s="16">
        <v>0.30901699437494745</v>
      </c>
      <c r="F35" s="124">
        <v>0.95105651629515353</v>
      </c>
      <c r="G35" s="124">
        <v>-0.30901699437494745</v>
      </c>
      <c r="H35" s="126">
        <f t="shared" si="0"/>
        <v>1.2692146101364599E-3</v>
      </c>
      <c r="I35" s="7">
        <v>0.30774777976481099</v>
      </c>
      <c r="J35" s="126">
        <f t="shared" si="1"/>
        <v>1.9539239271464393E-3</v>
      </c>
      <c r="K35" s="7">
        <v>0.94910259236800709</v>
      </c>
      <c r="L35" s="126">
        <f t="shared" si="2"/>
        <v>1.9014754064962114E-3</v>
      </c>
      <c r="M35" s="7">
        <v>-0.30711551896845124</v>
      </c>
      <c r="N35" s="126">
        <f t="shared" si="3"/>
        <v>3.9038335626566667E-3</v>
      </c>
      <c r="O35" s="7">
        <v>-0.94715268273249686</v>
      </c>
      <c r="P35" s="126">
        <f t="shared" si="4"/>
        <v>1.2692146101364599E-3</v>
      </c>
      <c r="Q35" s="7">
        <v>0.30774777976481099</v>
      </c>
      <c r="R35" s="126">
        <f t="shared" si="5"/>
        <v>1.9539239271464393E-3</v>
      </c>
      <c r="S35" s="7">
        <v>0.94910259236800709</v>
      </c>
      <c r="T35" s="126">
        <f t="shared" si="6"/>
        <v>1.901475406496933E-3</v>
      </c>
      <c r="U35" s="7">
        <v>-0.30711551896845052</v>
      </c>
      <c r="V35" s="126">
        <f t="shared" si="7"/>
        <v>3.9038335620269482E-3</v>
      </c>
      <c r="W35" s="7">
        <v>-0.94715268273312658</v>
      </c>
    </row>
    <row r="36" spans="2:23" x14ac:dyDescent="0.2">
      <c r="C36" s="125">
        <v>-1.0995574287564276</v>
      </c>
      <c r="D36" s="16">
        <v>-0.89100652418836779</v>
      </c>
      <c r="E36" s="16">
        <v>0.4539904997395468</v>
      </c>
      <c r="F36" s="124">
        <v>0.89100652418836779</v>
      </c>
      <c r="G36" s="124">
        <v>-0.4539904997395468</v>
      </c>
      <c r="H36" s="126">
        <f t="shared" si="0"/>
        <v>1.8646591793384237E-3</v>
      </c>
      <c r="I36" s="7">
        <v>0.45212584056020838</v>
      </c>
      <c r="J36" s="126">
        <f t="shared" si="1"/>
        <v>1.8305525876005646E-3</v>
      </c>
      <c r="K36" s="7">
        <v>0.88917597160076722</v>
      </c>
      <c r="L36" s="126">
        <f t="shared" si="2"/>
        <v>2.7935414096204036E-3</v>
      </c>
      <c r="M36" s="7">
        <v>-0.4511969583299264</v>
      </c>
      <c r="N36" s="126">
        <f t="shared" si="3"/>
        <v>3.6573443473135736E-3</v>
      </c>
      <c r="O36" s="7">
        <v>-0.88734917984105421</v>
      </c>
      <c r="P36" s="126">
        <f t="shared" si="4"/>
        <v>1.8646591793385348E-3</v>
      </c>
      <c r="Q36" s="7">
        <v>0.45212584056020827</v>
      </c>
      <c r="R36" s="126">
        <f t="shared" si="5"/>
        <v>1.830552587602563E-3</v>
      </c>
      <c r="S36" s="7">
        <v>0.88917597160076522</v>
      </c>
      <c r="T36" s="126">
        <f t="shared" si="6"/>
        <v>2.7935414096110223E-3</v>
      </c>
      <c r="U36" s="7">
        <v>-0.45119695832993578</v>
      </c>
      <c r="V36" s="126">
        <f t="shared" si="7"/>
        <v>3.6573443472573963E-3</v>
      </c>
      <c r="W36" s="7">
        <v>-0.88734917984111039</v>
      </c>
    </row>
    <row r="37" spans="2:23" x14ac:dyDescent="0.2">
      <c r="B37" s="77" t="s">
        <v>532</v>
      </c>
      <c r="C37" s="125">
        <v>-0.94247779607693793</v>
      </c>
      <c r="D37" s="16">
        <v>-0.80901699437494745</v>
      </c>
      <c r="E37" s="16">
        <v>0.58778525229247314</v>
      </c>
      <c r="F37" s="124">
        <v>0.80901699437494745</v>
      </c>
      <c r="G37" s="124">
        <v>-0.58778525229247314</v>
      </c>
      <c r="H37" s="126">
        <f t="shared" si="0"/>
        <v>2.4141896510952998E-3</v>
      </c>
      <c r="I37" s="7">
        <v>0.58537106264137784</v>
      </c>
      <c r="J37" s="126">
        <f t="shared" si="1"/>
        <v>1.6621069680760048E-3</v>
      </c>
      <c r="K37" s="7">
        <v>0.80735488740687145</v>
      </c>
      <c r="L37" s="126">
        <f t="shared" si="2"/>
        <v>3.6168211519080895E-3</v>
      </c>
      <c r="M37" s="7">
        <v>-0.58416843114056505</v>
      </c>
      <c r="N37" s="126">
        <f t="shared" si="3"/>
        <v>3.320799174002631E-3</v>
      </c>
      <c r="O37" s="7">
        <v>-0.80569619520094482</v>
      </c>
      <c r="P37" s="126">
        <f t="shared" si="4"/>
        <v>2.4141896510952998E-3</v>
      </c>
      <c r="Q37" s="7">
        <v>0.58537106264137784</v>
      </c>
      <c r="R37" s="126">
        <f t="shared" si="5"/>
        <v>1.6621069680756717E-3</v>
      </c>
      <c r="S37" s="7">
        <v>0.80735488740687178</v>
      </c>
      <c r="T37" s="126">
        <f t="shared" si="6"/>
        <v>3.6168211518966542E-3</v>
      </c>
      <c r="U37" s="7">
        <v>-0.58416843114057648</v>
      </c>
      <c r="V37" s="126">
        <f t="shared" si="7"/>
        <v>3.3207991741126541E-3</v>
      </c>
      <c r="W37" s="7">
        <v>-0.8056961952008348</v>
      </c>
    </row>
    <row r="38" spans="2:23" x14ac:dyDescent="0.2">
      <c r="B38" s="45">
        <f>C34-C33</f>
        <v>0.15707963267948966</v>
      </c>
      <c r="C38" s="125">
        <v>-0.78539816339744828</v>
      </c>
      <c r="D38" s="16">
        <v>-0.70710678118654746</v>
      </c>
      <c r="E38" s="16">
        <v>0.70710678118654757</v>
      </c>
      <c r="F38" s="16">
        <v>0.70710678118654746</v>
      </c>
      <c r="G38" s="16">
        <v>-0.70710678118654757</v>
      </c>
      <c r="H38" s="126">
        <f t="shared" si="0"/>
        <v>2.9042747614062003E-3</v>
      </c>
      <c r="I38" s="7">
        <v>0.70420250642514137</v>
      </c>
      <c r="J38" s="126">
        <f t="shared" si="1"/>
        <v>1.4527347588076944E-3</v>
      </c>
      <c r="K38" s="7">
        <v>0.70565404642773977</v>
      </c>
      <c r="L38" s="126">
        <f t="shared" si="2"/>
        <v>4.3510427539231733E-3</v>
      </c>
      <c r="M38" s="7">
        <v>-0.7027557384326244</v>
      </c>
      <c r="N38" s="126">
        <f t="shared" si="3"/>
        <v>2.9024849082059934E-3</v>
      </c>
      <c r="O38" s="7">
        <v>-0.70420429627834147</v>
      </c>
      <c r="P38" s="126">
        <f t="shared" si="4"/>
        <v>2.9042747614063114E-3</v>
      </c>
      <c r="Q38" s="7">
        <v>0.70420250642514126</v>
      </c>
      <c r="R38" s="126">
        <f t="shared" si="5"/>
        <v>1.4527347588096928E-3</v>
      </c>
      <c r="S38" s="7">
        <v>0.70565404642773777</v>
      </c>
      <c r="T38" s="126">
        <f t="shared" si="6"/>
        <v>4.3510427539261709E-3</v>
      </c>
      <c r="U38" s="7">
        <v>-0.7027557384326214</v>
      </c>
      <c r="V38" s="126">
        <f t="shared" si="7"/>
        <v>2.9024849075992565E-3</v>
      </c>
      <c r="W38" s="7">
        <v>-0.70420429627894821</v>
      </c>
    </row>
    <row r="39" spans="2:23" x14ac:dyDescent="0.2">
      <c r="C39" s="125">
        <v>-0.62831853071795862</v>
      </c>
      <c r="D39" s="16">
        <v>-0.58778525229247314</v>
      </c>
      <c r="E39" s="16">
        <v>0.80901699437494745</v>
      </c>
      <c r="F39" s="16">
        <v>0.58778525229247314</v>
      </c>
      <c r="G39" s="16">
        <v>-0.80901699437494745</v>
      </c>
      <c r="H39" s="126">
        <f t="shared" si="0"/>
        <v>3.3228469883561651E-3</v>
      </c>
      <c r="I39" s="7">
        <v>0.80569414738659129</v>
      </c>
      <c r="J39" s="126">
        <f t="shared" si="1"/>
        <v>1.2075913984019859E-3</v>
      </c>
      <c r="K39" s="7">
        <v>0.58657766089407115</v>
      </c>
      <c r="L39" s="126">
        <f t="shared" si="2"/>
        <v>4.9781272430807766E-3</v>
      </c>
      <c r="M39" s="7">
        <v>-0.80403886713186667</v>
      </c>
      <c r="N39" s="126">
        <f t="shared" si="3"/>
        <v>2.4127018270527767E-3</v>
      </c>
      <c r="O39" s="7">
        <v>-0.58537255046542036</v>
      </c>
      <c r="P39" s="126">
        <f t="shared" si="4"/>
        <v>3.3228469883564982E-3</v>
      </c>
      <c r="Q39" s="7">
        <v>0.80569414738659095</v>
      </c>
      <c r="R39" s="126">
        <f t="shared" si="5"/>
        <v>1.2075913984037623E-3</v>
      </c>
      <c r="S39" s="7">
        <v>0.58657766089406937</v>
      </c>
      <c r="T39" s="126">
        <f t="shared" si="6"/>
        <v>4.9781272430742263E-3</v>
      </c>
      <c r="U39" s="7">
        <v>-0.80403886713187322</v>
      </c>
      <c r="V39" s="126">
        <f t="shared" si="7"/>
        <v>2.4127018269389788E-3</v>
      </c>
      <c r="W39" s="7">
        <v>-0.58537255046553416</v>
      </c>
    </row>
    <row r="40" spans="2:23" x14ac:dyDescent="0.2">
      <c r="C40" s="125">
        <v>-0.47123889803846897</v>
      </c>
      <c r="D40" s="16">
        <v>-0.45399049973954675</v>
      </c>
      <c r="E40" s="16">
        <v>0.8910065241883679</v>
      </c>
      <c r="F40" s="16">
        <v>0.45399049973954675</v>
      </c>
      <c r="G40" s="16">
        <v>-0.8910065241883679</v>
      </c>
      <c r="H40" s="126">
        <f t="shared" si="0"/>
        <v>3.6595996945556486E-3</v>
      </c>
      <c r="I40" s="7">
        <v>0.88734692449381225</v>
      </c>
      <c r="J40" s="126">
        <f t="shared" si="1"/>
        <v>9.3271313002019074E-4</v>
      </c>
      <c r="K40" s="7">
        <v>0.45305778660952656</v>
      </c>
      <c r="L40" s="126">
        <f t="shared" si="2"/>
        <v>5.482633718005725E-3</v>
      </c>
      <c r="M40" s="7">
        <v>-0.88552389047036217</v>
      </c>
      <c r="N40" s="126">
        <f t="shared" si="3"/>
        <v>1.8635100225656287E-3</v>
      </c>
      <c r="O40" s="7">
        <v>-0.45212698971698112</v>
      </c>
      <c r="P40" s="126">
        <f t="shared" si="4"/>
        <v>3.6595996945556486E-3</v>
      </c>
      <c r="Q40" s="7">
        <v>0.88734692449381225</v>
      </c>
      <c r="R40" s="126">
        <f t="shared" si="5"/>
        <v>9.327131300185254E-4</v>
      </c>
      <c r="S40" s="7">
        <v>0.45305778660952822</v>
      </c>
      <c r="T40" s="126">
        <f t="shared" si="6"/>
        <v>5.482633718015828E-3</v>
      </c>
      <c r="U40" s="7">
        <v>-0.88552389047035207</v>
      </c>
      <c r="V40" s="126">
        <f t="shared" si="7"/>
        <v>1.8635100213191258E-3</v>
      </c>
      <c r="W40" s="7">
        <v>-0.45212698971822762</v>
      </c>
    </row>
    <row r="41" spans="2:23" x14ac:dyDescent="0.2">
      <c r="C41" s="125">
        <v>-0.31415926535897931</v>
      </c>
      <c r="D41" s="16">
        <v>-0.3090169943749474</v>
      </c>
      <c r="E41" s="16">
        <v>0.95105651629515353</v>
      </c>
      <c r="F41" s="16">
        <v>0.3090169943749474</v>
      </c>
      <c r="G41" s="16">
        <v>-0.95105651629515353</v>
      </c>
      <c r="H41" s="126">
        <f t="shared" si="0"/>
        <v>3.9062409107603058E-3</v>
      </c>
      <c r="I41" s="7">
        <v>0.94715027538439323</v>
      </c>
      <c r="J41" s="126">
        <f t="shared" si="1"/>
        <v>6.3486836887050035E-4</v>
      </c>
      <c r="K41" s="7">
        <v>0.3083821260060769</v>
      </c>
      <c r="L41" s="126">
        <f t="shared" si="2"/>
        <v>5.8521395550339417E-3</v>
      </c>
      <c r="M41" s="7">
        <v>-0.94520437674011959</v>
      </c>
      <c r="N41" s="126">
        <f t="shared" si="3"/>
        <v>1.2684324153205973E-3</v>
      </c>
      <c r="O41" s="7">
        <v>-0.3077485619596268</v>
      </c>
      <c r="P41" s="126">
        <f t="shared" si="4"/>
        <v>3.9062409107606388E-3</v>
      </c>
      <c r="Q41" s="7">
        <v>0.94715027538439289</v>
      </c>
      <c r="R41" s="126">
        <f t="shared" si="5"/>
        <v>6.3486836887149956E-4</v>
      </c>
      <c r="S41" s="7">
        <v>0.3083821260060759</v>
      </c>
      <c r="T41" s="126">
        <f t="shared" si="6"/>
        <v>5.8521395550276134E-3</v>
      </c>
      <c r="U41" s="7">
        <v>-0.94520437674012592</v>
      </c>
      <c r="V41" s="126">
        <f t="shared" si="7"/>
        <v>1.2684324144377479E-3</v>
      </c>
      <c r="W41" s="7">
        <v>-0.30774856196050965</v>
      </c>
    </row>
    <row r="42" spans="2:23" x14ac:dyDescent="0.2">
      <c r="C42" s="125">
        <v>-0.15707963267948966</v>
      </c>
      <c r="D42" s="16">
        <v>-0.15643446504023087</v>
      </c>
      <c r="E42" s="16">
        <v>0.98768834059513777</v>
      </c>
      <c r="F42" s="16">
        <v>0.15643446504023087</v>
      </c>
      <c r="G42" s="16">
        <v>-0.98768834059513777</v>
      </c>
      <c r="H42" s="126">
        <f t="shared" si="0"/>
        <v>4.056697511671814E-3</v>
      </c>
      <c r="I42" s="7">
        <v>0.98363164308346596</v>
      </c>
      <c r="J42" s="126">
        <f t="shared" si="1"/>
        <v>3.2139104147221875E-4</v>
      </c>
      <c r="K42" s="7">
        <v>0.15611307399875865</v>
      </c>
      <c r="L42" s="126">
        <f t="shared" si="2"/>
        <v>6.0775462940404479E-3</v>
      </c>
      <c r="M42" s="7">
        <v>-0.98161079430109732</v>
      </c>
      <c r="N42" s="126">
        <f t="shared" si="3"/>
        <v>6.4212179217318366E-4</v>
      </c>
      <c r="O42" s="7">
        <v>-0.15579234324805769</v>
      </c>
      <c r="P42" s="126">
        <f t="shared" si="4"/>
        <v>4.0566975116721471E-3</v>
      </c>
      <c r="Q42" s="7">
        <v>0.98363164308346562</v>
      </c>
      <c r="R42" s="126">
        <f t="shared" si="5"/>
        <v>3.2139104147249631E-4</v>
      </c>
      <c r="S42" s="7">
        <v>0.15611307399875837</v>
      </c>
      <c r="T42" s="126">
        <f t="shared" si="6"/>
        <v>6.0775462940430014E-3</v>
      </c>
      <c r="U42" s="7">
        <v>-0.98161079430109477</v>
      </c>
      <c r="V42" s="126">
        <f t="shared" si="7"/>
        <v>6.4212179195599628E-4</v>
      </c>
      <c r="W42" s="7">
        <v>-0.15579234324827487</v>
      </c>
    </row>
    <row r="43" spans="2:23" x14ac:dyDescent="0.2">
      <c r="C43" s="125">
        <v>0</v>
      </c>
      <c r="D43" s="16">
        <v>0</v>
      </c>
      <c r="E43" s="16">
        <v>1</v>
      </c>
      <c r="F43" s="16">
        <v>0</v>
      </c>
      <c r="G43" s="16">
        <v>-1</v>
      </c>
      <c r="H43" s="126">
        <f t="shared" si="0"/>
        <v>4.1072647564386333E-3</v>
      </c>
      <c r="I43" s="7">
        <v>0.99589273524356137</v>
      </c>
      <c r="J43" s="126">
        <f t="shared" si="1"/>
        <v>0</v>
      </c>
      <c r="K43" s="7">
        <v>0</v>
      </c>
      <c r="L43" s="126">
        <f t="shared" si="2"/>
        <v>6.1533036730688773E-3</v>
      </c>
      <c r="M43" s="7">
        <v>-0.99384669632693112</v>
      </c>
      <c r="N43" s="126">
        <f t="shared" si="3"/>
        <v>0</v>
      </c>
      <c r="O43" s="7">
        <v>0</v>
      </c>
      <c r="P43" s="126">
        <f t="shared" si="4"/>
        <v>4.1072647564386333E-3</v>
      </c>
      <c r="Q43" s="7">
        <v>0.99589273524356137</v>
      </c>
      <c r="R43" s="126">
        <f t="shared" si="5"/>
        <v>2.7507102914925876E-15</v>
      </c>
      <c r="S43" s="7">
        <v>-2.7507102914925876E-15</v>
      </c>
      <c r="T43" s="126">
        <f t="shared" si="6"/>
        <v>6.1533036730765378E-3</v>
      </c>
      <c r="U43" s="7">
        <v>-0.99384669632692346</v>
      </c>
      <c r="V43" s="126">
        <f t="shared" si="7"/>
        <v>2.7774136877689288E-13</v>
      </c>
      <c r="W43" s="7">
        <v>-2.7774136877689288E-13</v>
      </c>
    </row>
    <row r="44" spans="2:23" x14ac:dyDescent="0.2">
      <c r="C44" s="125">
        <v>0.15707963267948966</v>
      </c>
      <c r="D44" s="16">
        <v>0.15643446504023087</v>
      </c>
      <c r="E44" s="16">
        <v>0.98768834059513777</v>
      </c>
      <c r="F44" s="16">
        <v>-0.15643446504023087</v>
      </c>
      <c r="G44" s="16">
        <v>-0.98768834059513777</v>
      </c>
      <c r="H44" s="126">
        <f t="shared" si="0"/>
        <v>4.056697511671814E-3</v>
      </c>
      <c r="I44" s="7">
        <v>0.98363164308346596</v>
      </c>
      <c r="J44" s="126">
        <f t="shared" si="1"/>
        <v>3.2139104147221875E-4</v>
      </c>
      <c r="K44" s="7">
        <v>-0.15611307399875865</v>
      </c>
      <c r="L44" s="126">
        <f t="shared" si="2"/>
        <v>6.0775462940367841E-3</v>
      </c>
      <c r="M44" s="7">
        <v>-0.98161079430110099</v>
      </c>
      <c r="N44" s="126">
        <f t="shared" si="3"/>
        <v>6.4212179212758125E-4</v>
      </c>
      <c r="O44" s="7">
        <v>0.15579234324810329</v>
      </c>
      <c r="P44" s="126">
        <f t="shared" si="4"/>
        <v>4.056697511671814E-3</v>
      </c>
      <c r="Q44" s="7">
        <v>0.98363164308346596</v>
      </c>
      <c r="R44" s="126">
        <f t="shared" si="5"/>
        <v>3.2139104147249631E-4</v>
      </c>
      <c r="S44" s="7">
        <v>-0.15611307399875837</v>
      </c>
      <c r="T44" s="126">
        <f t="shared" si="6"/>
        <v>6.0775462940370062E-3</v>
      </c>
      <c r="U44" s="7">
        <v>-0.98161079430110076</v>
      </c>
      <c r="V44" s="126">
        <f t="shared" si="7"/>
        <v>6.4212179293363092E-4</v>
      </c>
      <c r="W44" s="7">
        <v>0.15579234324729724</v>
      </c>
    </row>
    <row r="45" spans="2:23" x14ac:dyDescent="0.2">
      <c r="C45" s="125">
        <v>0.31415926535897931</v>
      </c>
      <c r="D45" s="16">
        <v>0.3090169943749474</v>
      </c>
      <c r="E45" s="16">
        <v>0.95105651629515353</v>
      </c>
      <c r="F45" s="16">
        <v>-0.3090169943749474</v>
      </c>
      <c r="G45" s="16">
        <v>-0.95105651629515353</v>
      </c>
      <c r="H45" s="126">
        <f t="shared" si="0"/>
        <v>3.9062409107603058E-3</v>
      </c>
      <c r="I45" s="7">
        <v>0.94715027538439323</v>
      </c>
      <c r="J45" s="126">
        <f t="shared" si="1"/>
        <v>6.3486836886939013E-4</v>
      </c>
      <c r="K45" s="7">
        <v>-0.30838212600607801</v>
      </c>
      <c r="L45" s="126">
        <f t="shared" si="2"/>
        <v>5.8521395550267252E-3</v>
      </c>
      <c r="M45" s="7">
        <v>-0.94520437674012681</v>
      </c>
      <c r="N45" s="126">
        <f t="shared" si="3"/>
        <v>1.2684324151382431E-3</v>
      </c>
      <c r="O45" s="7">
        <v>0.30774856195980915</v>
      </c>
      <c r="P45" s="126">
        <f t="shared" si="4"/>
        <v>3.9062409107605278E-3</v>
      </c>
      <c r="Q45" s="7">
        <v>0.947150275384393</v>
      </c>
      <c r="R45" s="126">
        <f t="shared" si="5"/>
        <v>6.348683688682244E-4</v>
      </c>
      <c r="S45" s="7">
        <v>-0.30838212600607917</v>
      </c>
      <c r="T45" s="126">
        <f t="shared" si="6"/>
        <v>5.8521395550225064E-3</v>
      </c>
      <c r="U45" s="7">
        <v>-0.94520437674013102</v>
      </c>
      <c r="V45" s="126">
        <f t="shared" si="7"/>
        <v>1.2684324153068305E-3</v>
      </c>
      <c r="W45" s="7">
        <v>0.30774856195964057</v>
      </c>
    </row>
    <row r="46" spans="2:23" x14ac:dyDescent="0.2">
      <c r="C46" s="125">
        <v>0.47123889803846897</v>
      </c>
      <c r="D46" s="16">
        <v>0.45399049973954675</v>
      </c>
      <c r="E46" s="16">
        <v>0.8910065241883679</v>
      </c>
      <c r="F46" s="16">
        <v>-0.45399049973954675</v>
      </c>
      <c r="G46" s="16">
        <v>-0.8910065241883679</v>
      </c>
      <c r="H46" s="126">
        <f t="shared" si="0"/>
        <v>3.6595996945556486E-3</v>
      </c>
      <c r="I46" s="7">
        <v>0.88734692449381225</v>
      </c>
      <c r="J46" s="126">
        <f t="shared" si="1"/>
        <v>9.327131300224667E-4</v>
      </c>
      <c r="K46" s="7">
        <v>-0.45305778660952428</v>
      </c>
      <c r="L46" s="126">
        <f t="shared" si="2"/>
        <v>5.4826337180092777E-3</v>
      </c>
      <c r="M46" s="7">
        <v>-0.88552389047035862</v>
      </c>
      <c r="N46" s="126">
        <f t="shared" si="3"/>
        <v>1.8635100224288492E-3</v>
      </c>
      <c r="O46" s="7">
        <v>0.4521269897171179</v>
      </c>
      <c r="P46" s="126">
        <f t="shared" si="4"/>
        <v>3.6595996945559817E-3</v>
      </c>
      <c r="Q46" s="7">
        <v>0.88734692449381192</v>
      </c>
      <c r="R46" s="126">
        <f t="shared" si="5"/>
        <v>9.3271313002230016E-4</v>
      </c>
      <c r="S46" s="7">
        <v>-0.45305778660952445</v>
      </c>
      <c r="T46" s="126">
        <f t="shared" si="6"/>
        <v>5.4826337180137186E-3</v>
      </c>
      <c r="U46" s="7">
        <v>-0.88552389047035418</v>
      </c>
      <c r="V46" s="126">
        <f t="shared" si="7"/>
        <v>1.8635100235232516E-3</v>
      </c>
      <c r="W46" s="7">
        <v>0.4521269897160235</v>
      </c>
    </row>
    <row r="47" spans="2:23" x14ac:dyDescent="0.2">
      <c r="C47" s="125">
        <v>0.62831853071795862</v>
      </c>
      <c r="D47" s="16">
        <v>0.58778525229247314</v>
      </c>
      <c r="E47" s="16">
        <v>0.80901699437494745</v>
      </c>
      <c r="F47" s="16">
        <v>-0.58778525229247314</v>
      </c>
      <c r="G47" s="16">
        <v>-0.80901699437494745</v>
      </c>
      <c r="H47" s="126">
        <f t="shared" si="0"/>
        <v>3.3228469883561651E-3</v>
      </c>
      <c r="I47" s="7">
        <v>0.80569414738659129</v>
      </c>
      <c r="J47" s="126">
        <f t="shared" si="1"/>
        <v>1.2075913984019859E-3</v>
      </c>
      <c r="K47" s="7">
        <v>-0.58657766089407115</v>
      </c>
      <c r="L47" s="126">
        <f t="shared" si="2"/>
        <v>4.9781272430735601E-3</v>
      </c>
      <c r="M47" s="7">
        <v>-0.80403886713187389</v>
      </c>
      <c r="N47" s="126">
        <f t="shared" si="3"/>
        <v>2.4127018269616274E-3</v>
      </c>
      <c r="O47" s="7">
        <v>0.58537255046551151</v>
      </c>
      <c r="P47" s="126">
        <f t="shared" si="4"/>
        <v>3.3228469883559431E-3</v>
      </c>
      <c r="Q47" s="7">
        <v>0.80569414738659151</v>
      </c>
      <c r="R47" s="126">
        <f t="shared" si="5"/>
        <v>1.2075913984035402E-3</v>
      </c>
      <c r="S47" s="7">
        <v>-0.5865776608940696</v>
      </c>
      <c r="T47" s="126">
        <f t="shared" si="6"/>
        <v>4.9781272430662327E-3</v>
      </c>
      <c r="U47" s="7">
        <v>-0.80403886713188122</v>
      </c>
      <c r="V47" s="126">
        <f t="shared" si="7"/>
        <v>2.4127018272777079E-3</v>
      </c>
      <c r="W47" s="7">
        <v>0.58537255046519543</v>
      </c>
    </row>
    <row r="48" spans="2:23" x14ac:dyDescent="0.2">
      <c r="C48" s="125">
        <v>0.78539816339744828</v>
      </c>
      <c r="D48" s="16">
        <v>0.70710678118654746</v>
      </c>
      <c r="E48" s="16">
        <v>0.70710678118654757</v>
      </c>
      <c r="F48" s="16">
        <v>-0.70710678118654746</v>
      </c>
      <c r="G48" s="16">
        <v>-0.70710678118654757</v>
      </c>
      <c r="H48" s="126">
        <f t="shared" si="0"/>
        <v>2.9042747614062003E-3</v>
      </c>
      <c r="I48" s="7">
        <v>0.70420250642514137</v>
      </c>
      <c r="J48" s="126">
        <f t="shared" si="1"/>
        <v>1.4527347588076944E-3</v>
      </c>
      <c r="K48" s="7">
        <v>-0.70565404642773977</v>
      </c>
      <c r="L48" s="126">
        <f t="shared" si="2"/>
        <v>4.3510427539231733E-3</v>
      </c>
      <c r="M48" s="7">
        <v>-0.7027557384326244</v>
      </c>
      <c r="N48" s="126">
        <f t="shared" si="3"/>
        <v>2.9024849082059934E-3</v>
      </c>
      <c r="O48" s="7">
        <v>0.70420429627834147</v>
      </c>
      <c r="P48" s="126">
        <f t="shared" si="4"/>
        <v>2.9042747614063114E-3</v>
      </c>
      <c r="Q48" s="7">
        <v>0.70420250642514126</v>
      </c>
      <c r="R48" s="126">
        <f t="shared" si="5"/>
        <v>1.4527347588069173E-3</v>
      </c>
      <c r="S48" s="7">
        <v>-0.70565404642774054</v>
      </c>
      <c r="T48" s="126">
        <f t="shared" si="6"/>
        <v>4.3510427539255048E-3</v>
      </c>
      <c r="U48" s="7">
        <v>-0.70275573843262207</v>
      </c>
      <c r="V48" s="126">
        <f t="shared" si="7"/>
        <v>2.9024849076348946E-3</v>
      </c>
      <c r="W48" s="7">
        <v>0.70420429627891257</v>
      </c>
    </row>
    <row r="49" spans="3:23" x14ac:dyDescent="0.2">
      <c r="C49" s="125">
        <v>0.94247779607693793</v>
      </c>
      <c r="D49" s="16">
        <v>0.80901699437494745</v>
      </c>
      <c r="E49" s="16">
        <v>0.58778525229247314</v>
      </c>
      <c r="F49" s="16">
        <v>-0.80901699437494745</v>
      </c>
      <c r="G49" s="16">
        <v>-0.58778525229247314</v>
      </c>
      <c r="H49" s="126">
        <f t="shared" si="0"/>
        <v>2.4141896510952998E-3</v>
      </c>
      <c r="I49" s="7">
        <v>0.58537106264137784</v>
      </c>
      <c r="J49" s="126">
        <f t="shared" si="1"/>
        <v>1.6621069680760048E-3</v>
      </c>
      <c r="K49" s="7">
        <v>-0.80735488740687145</v>
      </c>
      <c r="L49" s="126">
        <f t="shared" si="2"/>
        <v>3.6168211519080895E-3</v>
      </c>
      <c r="M49" s="7">
        <v>-0.58416843114056505</v>
      </c>
      <c r="N49" s="126">
        <f t="shared" si="3"/>
        <v>3.3207991738202214E-3</v>
      </c>
      <c r="O49" s="7">
        <v>0.80569619520112723</v>
      </c>
      <c r="P49" s="126">
        <f t="shared" si="4"/>
        <v>2.4141896510955219E-3</v>
      </c>
      <c r="Q49" s="7">
        <v>0.58537106264137762</v>
      </c>
      <c r="R49" s="126">
        <f t="shared" si="5"/>
        <v>1.6621069680744505E-3</v>
      </c>
      <c r="S49" s="7">
        <v>-0.807354887406873</v>
      </c>
      <c r="T49" s="126">
        <f t="shared" si="6"/>
        <v>3.6168211518989857E-3</v>
      </c>
      <c r="U49" s="7">
        <v>-0.58416843114057415</v>
      </c>
      <c r="V49" s="126">
        <f t="shared" si="7"/>
        <v>3.3207991742674192E-3</v>
      </c>
      <c r="W49" s="7">
        <v>0.80569619520068003</v>
      </c>
    </row>
    <row r="50" spans="3:23" x14ac:dyDescent="0.2">
      <c r="C50" s="125">
        <v>1.0995574287564276</v>
      </c>
      <c r="D50" s="16">
        <v>0.89100652418836779</v>
      </c>
      <c r="E50" s="16">
        <v>0.4539904997395468</v>
      </c>
      <c r="F50" s="16">
        <v>-0.89100652418836779</v>
      </c>
      <c r="G50" s="16">
        <v>-0.4539904997395468</v>
      </c>
      <c r="H50" s="126">
        <f t="shared" si="0"/>
        <v>1.8646591793384237E-3</v>
      </c>
      <c r="I50" s="7">
        <v>0.45212584056020838</v>
      </c>
      <c r="J50" s="126">
        <f t="shared" si="1"/>
        <v>1.8305525876005646E-3</v>
      </c>
      <c r="K50" s="7">
        <v>-0.88917597160076722</v>
      </c>
      <c r="L50" s="126">
        <f t="shared" si="2"/>
        <v>2.7935414096204036E-3</v>
      </c>
      <c r="M50" s="7">
        <v>-0.4511969583299264</v>
      </c>
      <c r="N50" s="126">
        <f t="shared" si="3"/>
        <v>3.6573443473135736E-3</v>
      </c>
      <c r="O50" s="7">
        <v>0.88734917984105421</v>
      </c>
      <c r="P50" s="126">
        <f t="shared" si="4"/>
        <v>1.8646591793385348E-3</v>
      </c>
      <c r="Q50" s="7">
        <v>0.45212584056020827</v>
      </c>
      <c r="R50" s="126">
        <f t="shared" si="5"/>
        <v>1.8305525876002315E-3</v>
      </c>
      <c r="S50" s="7">
        <v>-0.88917597160076756</v>
      </c>
      <c r="T50" s="126">
        <f t="shared" si="6"/>
        <v>2.7935414096263433E-3</v>
      </c>
      <c r="U50" s="7">
        <v>-0.45119695832992046</v>
      </c>
      <c r="V50" s="126">
        <f t="shared" si="7"/>
        <v>3.6573443476466405E-3</v>
      </c>
      <c r="W50" s="7">
        <v>0.88734917984072115</v>
      </c>
    </row>
    <row r="51" spans="3:23" x14ac:dyDescent="0.2">
      <c r="C51" s="125">
        <v>1.2566370614359172</v>
      </c>
      <c r="D51" s="16">
        <v>0.95105651629515353</v>
      </c>
      <c r="E51" s="16">
        <v>0.30901699437494745</v>
      </c>
      <c r="F51" s="16">
        <v>-0.95105651629515353</v>
      </c>
      <c r="G51" s="16">
        <v>-0.30901699437494745</v>
      </c>
      <c r="H51" s="126">
        <f t="shared" si="0"/>
        <v>1.2692146101364599E-3</v>
      </c>
      <c r="I51" s="7">
        <v>0.30774777976481099</v>
      </c>
      <c r="J51" s="126">
        <f t="shared" si="1"/>
        <v>1.9539239271464393E-3</v>
      </c>
      <c r="K51" s="7">
        <v>-0.94910259236800709</v>
      </c>
      <c r="L51" s="126">
        <f t="shared" si="2"/>
        <v>1.9014754064962114E-3</v>
      </c>
      <c r="M51" s="7">
        <v>-0.30711551896845124</v>
      </c>
      <c r="N51" s="126">
        <f t="shared" si="3"/>
        <v>3.9038335626566667E-3</v>
      </c>
      <c r="O51" s="7">
        <v>0.94715268273249686</v>
      </c>
      <c r="P51" s="126">
        <f t="shared" si="4"/>
        <v>1.2692146101365154E-3</v>
      </c>
      <c r="Q51" s="7">
        <v>0.30774777976481094</v>
      </c>
      <c r="R51" s="126">
        <f t="shared" si="5"/>
        <v>1.9539239271459952E-3</v>
      </c>
      <c r="S51" s="7">
        <v>-0.94910259236800754</v>
      </c>
      <c r="T51" s="126">
        <f t="shared" si="6"/>
        <v>1.9014754064947681E-3</v>
      </c>
      <c r="U51" s="7">
        <v>-0.30711551896845268</v>
      </c>
      <c r="V51" s="126">
        <f t="shared" si="7"/>
        <v>3.9038335623554632E-3</v>
      </c>
      <c r="W51" s="7">
        <v>0.94715268273279807</v>
      </c>
    </row>
    <row r="52" spans="3:23" x14ac:dyDescent="0.2">
      <c r="C52" s="125">
        <v>1.4137166941154069</v>
      </c>
      <c r="D52" s="16">
        <v>0.98768834059513777</v>
      </c>
      <c r="E52" s="16">
        <v>0.15643446504023092</v>
      </c>
      <c r="F52" s="16">
        <v>-0.98768834059513777</v>
      </c>
      <c r="G52" s="16">
        <v>-0.15643446504023092</v>
      </c>
      <c r="H52" s="126">
        <f t="shared" si="0"/>
        <v>6.4251776495199975E-4</v>
      </c>
      <c r="I52" s="7">
        <v>0.15579194727527892</v>
      </c>
      <c r="J52" s="126">
        <f t="shared" si="1"/>
        <v>2.0291831749047473E-3</v>
      </c>
      <c r="K52" s="7">
        <v>-0.98565915742023302</v>
      </c>
      <c r="L52" s="126">
        <f t="shared" si="2"/>
        <v>9.6258876833257845E-4</v>
      </c>
      <c r="M52" s="7">
        <v>-0.15547187627189835</v>
      </c>
      <c r="N52" s="126">
        <f t="shared" si="3"/>
        <v>4.0541974385925883E-3</v>
      </c>
      <c r="O52" s="7">
        <v>0.98363414315654518</v>
      </c>
      <c r="P52" s="126">
        <f t="shared" si="4"/>
        <v>6.425177649520275E-4</v>
      </c>
      <c r="Q52" s="7">
        <v>0.1557919472752789</v>
      </c>
      <c r="R52" s="126">
        <f t="shared" si="5"/>
        <v>2.0291831749015277E-3</v>
      </c>
      <c r="S52" s="7">
        <v>-0.98565915742023624</v>
      </c>
      <c r="T52" s="126">
        <f t="shared" si="6"/>
        <v>9.6258876833368867E-4</v>
      </c>
      <c r="U52" s="7">
        <v>-0.15547187627189724</v>
      </c>
      <c r="V52" s="126">
        <f t="shared" si="7"/>
        <v>4.0541974385279733E-3</v>
      </c>
      <c r="W52" s="7">
        <v>0.9836341431566098</v>
      </c>
    </row>
    <row r="53" spans="3:23" x14ac:dyDescent="0.2">
      <c r="C53" s="125">
        <v>1.5707963267948966</v>
      </c>
      <c r="D53" s="16">
        <v>1</v>
      </c>
      <c r="E53" s="16">
        <v>6.1257422745431001E-17</v>
      </c>
      <c r="F53" s="16">
        <v>-1</v>
      </c>
      <c r="G53" s="16">
        <v>-6.1257422745431001E-17</v>
      </c>
      <c r="H53" s="126">
        <f t="shared" si="0"/>
        <v>6.1257422745431001E-17</v>
      </c>
      <c r="I53" s="7">
        <v>0</v>
      </c>
      <c r="J53" s="126">
        <f t="shared" si="1"/>
        <v>2.0544771984311039E-3</v>
      </c>
      <c r="K53" s="7">
        <v>-0.9979455228015689</v>
      </c>
      <c r="L53" s="126">
        <f t="shared" si="2"/>
        <v>6.1257422745431001E-17</v>
      </c>
      <c r="M53" s="7">
        <v>0</v>
      </c>
      <c r="N53" s="126">
        <f t="shared" si="3"/>
        <v>4.1047335206463309E-3</v>
      </c>
      <c r="O53" s="7">
        <v>0.99589526647935367</v>
      </c>
      <c r="P53" s="126">
        <f t="shared" si="4"/>
        <v>6.127346615632697E-17</v>
      </c>
      <c r="Q53" s="7">
        <v>-1.6043410895965678E-20</v>
      </c>
      <c r="R53" s="126">
        <f t="shared" si="5"/>
        <v>2.054477198431881E-3</v>
      </c>
      <c r="S53" s="7">
        <v>-0.99794552280156812</v>
      </c>
      <c r="T53" s="126">
        <f t="shared" si="6"/>
        <v>1.2641106403181913E-14</v>
      </c>
      <c r="U53" s="7">
        <v>1.2579848980436482E-14</v>
      </c>
      <c r="V53" s="126">
        <f t="shared" si="7"/>
        <v>4.1047335208946878E-3</v>
      </c>
      <c r="W53" s="7">
        <v>0.99589526647910531</v>
      </c>
    </row>
    <row r="54" spans="3:23" x14ac:dyDescent="0.2">
      <c r="C54" s="125">
        <v>1.7278759594743862</v>
      </c>
      <c r="D54" s="16">
        <v>0.98768834059513777</v>
      </c>
      <c r="E54" s="16">
        <v>-0.15643446504023081</v>
      </c>
      <c r="F54" s="16">
        <v>-0.98768834059513777</v>
      </c>
      <c r="G54" s="16">
        <v>0.15643446504023081</v>
      </c>
      <c r="H54" s="126">
        <f t="shared" si="0"/>
        <v>6.4251776495222179E-4</v>
      </c>
      <c r="I54" s="7">
        <v>-0.15579194727527859</v>
      </c>
      <c r="J54" s="126">
        <f t="shared" si="1"/>
        <v>2.0291831749047473E-3</v>
      </c>
      <c r="K54" s="7">
        <v>-0.98565915742023302</v>
      </c>
      <c r="L54" s="126">
        <f t="shared" si="2"/>
        <v>9.625887683467893E-4</v>
      </c>
      <c r="M54" s="7">
        <v>0.15547187627188402</v>
      </c>
      <c r="N54" s="126">
        <f t="shared" si="3"/>
        <v>4.0541974391397062E-3</v>
      </c>
      <c r="O54" s="7">
        <v>0.98363414315599806</v>
      </c>
      <c r="P54" s="126">
        <f t="shared" si="4"/>
        <v>6.425177649522773E-4</v>
      </c>
      <c r="Q54" s="7">
        <v>-0.15579194727527854</v>
      </c>
      <c r="R54" s="126">
        <f t="shared" si="5"/>
        <v>2.0291831749046363E-3</v>
      </c>
      <c r="S54" s="7">
        <v>-0.98565915742023313</v>
      </c>
      <c r="T54" s="126">
        <f t="shared" si="6"/>
        <v>9.625887683460399E-4</v>
      </c>
      <c r="U54" s="7">
        <v>0.15547187627188477</v>
      </c>
      <c r="V54" s="126">
        <f t="shared" si="7"/>
        <v>4.0541974392919178E-3</v>
      </c>
      <c r="W54" s="7">
        <v>0.98363414315584585</v>
      </c>
    </row>
    <row r="55" spans="3:23" x14ac:dyDescent="0.2">
      <c r="C55" s="125">
        <v>1.8849555921538759</v>
      </c>
      <c r="D55" s="16">
        <v>0.95105651629515364</v>
      </c>
      <c r="E55" s="16">
        <v>-0.30901699437494734</v>
      </c>
      <c r="F55" s="16">
        <v>-0.95105651629515364</v>
      </c>
      <c r="G55" s="16">
        <v>0.30901699437494734</v>
      </c>
      <c r="H55" s="126">
        <f t="shared" si="0"/>
        <v>1.2692146101366819E-3</v>
      </c>
      <c r="I55" s="7">
        <v>-0.30774777976481066</v>
      </c>
      <c r="J55" s="126">
        <f t="shared" si="1"/>
        <v>1.9539239271419984E-3</v>
      </c>
      <c r="K55" s="7">
        <v>-0.94910259236801164</v>
      </c>
      <c r="L55" s="126">
        <f t="shared" si="2"/>
        <v>1.9014754065247441E-3</v>
      </c>
      <c r="M55" s="7">
        <v>0.3071155189684226</v>
      </c>
      <c r="N55" s="126">
        <f t="shared" si="3"/>
        <v>3.9038335619273612E-3</v>
      </c>
      <c r="O55" s="7">
        <v>0.94715268273322628</v>
      </c>
      <c r="P55" s="126">
        <f t="shared" si="4"/>
        <v>1.2692146101367374E-3</v>
      </c>
      <c r="Q55" s="7">
        <v>-0.3077477797648106</v>
      </c>
      <c r="R55" s="126">
        <f t="shared" si="5"/>
        <v>1.9539239271421094E-3</v>
      </c>
      <c r="S55" s="7">
        <v>-0.94910259236801153</v>
      </c>
      <c r="T55" s="126">
        <f t="shared" si="6"/>
        <v>1.9014754065179718E-3</v>
      </c>
      <c r="U55" s="7">
        <v>0.30711551896842937</v>
      </c>
      <c r="V55" s="126">
        <f t="shared" si="7"/>
        <v>3.9038335616863318E-3</v>
      </c>
      <c r="W55" s="7">
        <v>0.94715268273346731</v>
      </c>
    </row>
    <row r="56" spans="3:23" x14ac:dyDescent="0.2">
      <c r="C56" s="125">
        <v>2.0420352248333655</v>
      </c>
      <c r="D56" s="16">
        <v>0.8910065241883679</v>
      </c>
      <c r="E56" s="16">
        <v>-0.45399049973954669</v>
      </c>
      <c r="F56" s="16">
        <v>-0.8910065241883679</v>
      </c>
      <c r="G56" s="16">
        <v>0.45399049973954669</v>
      </c>
      <c r="H56" s="126">
        <f t="shared" si="0"/>
        <v>1.8646591793379241E-3</v>
      </c>
      <c r="I56" s="7">
        <v>-0.45212584056020877</v>
      </c>
      <c r="J56" s="126">
        <f t="shared" si="1"/>
        <v>1.8305525875962347E-3</v>
      </c>
      <c r="K56" s="7">
        <v>-0.88917597160077166</v>
      </c>
      <c r="L56" s="126">
        <f t="shared" si="2"/>
        <v>2.793541409577327E-3</v>
      </c>
      <c r="M56" s="7">
        <v>0.45119695832996937</v>
      </c>
      <c r="N56" s="126">
        <f t="shared" si="3"/>
        <v>3.6573443464018585E-3</v>
      </c>
      <c r="O56" s="7">
        <v>0.88734917984196604</v>
      </c>
      <c r="P56" s="126">
        <f t="shared" si="4"/>
        <v>1.8646591793380352E-3</v>
      </c>
      <c r="Q56" s="7">
        <v>-0.45212584056020866</v>
      </c>
      <c r="R56" s="126">
        <f t="shared" si="5"/>
        <v>1.830552587597678E-3</v>
      </c>
      <c r="S56" s="7">
        <v>-0.88917597160077022</v>
      </c>
      <c r="T56" s="126">
        <f t="shared" si="6"/>
        <v>2.7935414095727196E-3</v>
      </c>
      <c r="U56" s="7">
        <v>0.45119695832997397</v>
      </c>
      <c r="V56" s="126">
        <f t="shared" si="7"/>
        <v>3.6573443462529776E-3</v>
      </c>
      <c r="W56" s="7">
        <v>0.88734917984211492</v>
      </c>
    </row>
    <row r="57" spans="3:23" x14ac:dyDescent="0.2">
      <c r="C57" s="125">
        <v>2.1991148575128552</v>
      </c>
      <c r="D57" s="16">
        <v>0.80901699437494745</v>
      </c>
      <c r="E57" s="16">
        <v>-0.58778525229247303</v>
      </c>
      <c r="F57" s="16">
        <v>-0.80901699437494745</v>
      </c>
      <c r="G57" s="16">
        <v>0.58778525229247303</v>
      </c>
      <c r="H57" s="126">
        <f t="shared" si="0"/>
        <v>2.4141896510951888E-3</v>
      </c>
      <c r="I57" s="7">
        <v>-0.58537106264137784</v>
      </c>
      <c r="J57" s="126">
        <f t="shared" si="1"/>
        <v>1.6621069680849976E-3</v>
      </c>
      <c r="K57" s="7">
        <v>-0.80735488740686245</v>
      </c>
      <c r="L57" s="126">
        <f t="shared" si="2"/>
        <v>3.6168211519079785E-3</v>
      </c>
      <c r="M57" s="7">
        <v>0.58416843114056505</v>
      </c>
      <c r="N57" s="126">
        <f t="shared" si="3"/>
        <v>3.3207991752791655E-3</v>
      </c>
      <c r="O57" s="7">
        <v>0.80569619519966829</v>
      </c>
      <c r="P57" s="126">
        <f t="shared" si="4"/>
        <v>2.4141896510952998E-3</v>
      </c>
      <c r="Q57" s="7">
        <v>-0.58537106264137773</v>
      </c>
      <c r="R57" s="126">
        <f t="shared" si="5"/>
        <v>1.6621069680835543E-3</v>
      </c>
      <c r="S57" s="7">
        <v>-0.8073548874068639</v>
      </c>
      <c r="T57" s="126">
        <f t="shared" si="6"/>
        <v>3.6168211518933235E-3</v>
      </c>
      <c r="U57" s="7">
        <v>0.5841684311405797</v>
      </c>
      <c r="V57" s="126">
        <f t="shared" si="7"/>
        <v>3.3207991758849031E-3</v>
      </c>
      <c r="W57" s="7">
        <v>0.80569619519906255</v>
      </c>
    </row>
    <row r="58" spans="3:23" x14ac:dyDescent="0.2">
      <c r="C58" s="125">
        <v>2.3561944901923448</v>
      </c>
      <c r="D58" s="16">
        <v>0.70710678118654757</v>
      </c>
      <c r="E58" s="16">
        <v>-0.70710678118654746</v>
      </c>
      <c r="F58" s="16">
        <v>-0.70710678118654757</v>
      </c>
      <c r="G58" s="16">
        <v>0.70710678118654746</v>
      </c>
      <c r="H58" s="126">
        <f t="shared" si="0"/>
        <v>2.9042747614064224E-3</v>
      </c>
      <c r="I58" s="7">
        <v>-0.70420250642514104</v>
      </c>
      <c r="J58" s="126">
        <f t="shared" si="1"/>
        <v>1.4527347588033646E-3</v>
      </c>
      <c r="K58" s="7">
        <v>-0.70565404642774421</v>
      </c>
      <c r="L58" s="126">
        <f t="shared" si="2"/>
        <v>4.351042753951706E-3</v>
      </c>
      <c r="M58" s="7">
        <v>0.70275573843259576</v>
      </c>
      <c r="N58" s="126">
        <f t="shared" si="3"/>
        <v>2.9024849072943892E-3</v>
      </c>
      <c r="O58" s="7">
        <v>0.70420429627925318</v>
      </c>
      <c r="P58" s="126">
        <f t="shared" si="4"/>
        <v>2.9042747614065334E-3</v>
      </c>
      <c r="Q58" s="7">
        <v>-0.70420250642514093</v>
      </c>
      <c r="R58" s="126">
        <f t="shared" si="5"/>
        <v>1.4527347588034756E-3</v>
      </c>
      <c r="S58" s="7">
        <v>-0.7056540464277441</v>
      </c>
      <c r="T58" s="126">
        <f t="shared" si="6"/>
        <v>4.351042753951595E-3</v>
      </c>
      <c r="U58" s="7">
        <v>0.70275573843259587</v>
      </c>
      <c r="V58" s="126">
        <f t="shared" si="7"/>
        <v>2.902484907113867E-3</v>
      </c>
      <c r="W58" s="7">
        <v>0.70420429627943371</v>
      </c>
    </row>
    <row r="59" spans="3:23" x14ac:dyDescent="0.2">
      <c r="C59" s="125">
        <v>2.5132741228718345</v>
      </c>
      <c r="D59" s="16">
        <v>0.58778525229247325</v>
      </c>
      <c r="E59" s="16">
        <v>-0.80901699437494734</v>
      </c>
      <c r="F59" s="16">
        <v>-0.58778525229247325</v>
      </c>
      <c r="G59" s="16">
        <v>0.80901699437494734</v>
      </c>
      <c r="H59" s="126">
        <f t="shared" si="0"/>
        <v>3.3228469883560541E-3</v>
      </c>
      <c r="I59" s="7">
        <v>-0.80569414738659129</v>
      </c>
      <c r="J59" s="126">
        <f t="shared" si="1"/>
        <v>1.2075913984020969E-3</v>
      </c>
      <c r="K59" s="7">
        <v>-0.58657766089407115</v>
      </c>
      <c r="L59" s="126">
        <f t="shared" si="2"/>
        <v>4.9781272430663437E-3</v>
      </c>
      <c r="M59" s="7">
        <v>0.804038867131881</v>
      </c>
      <c r="N59" s="126">
        <f t="shared" si="3"/>
        <v>2.4127018276000056E-3</v>
      </c>
      <c r="O59" s="7">
        <v>0.58537255046487324</v>
      </c>
      <c r="P59" s="126">
        <f t="shared" si="4"/>
        <v>3.3228469883563871E-3</v>
      </c>
      <c r="Q59" s="7">
        <v>-0.80569414738659095</v>
      </c>
      <c r="R59" s="126">
        <f t="shared" si="5"/>
        <v>1.2075913984017639E-3</v>
      </c>
      <c r="S59" s="7">
        <v>-0.58657766089407148</v>
      </c>
      <c r="T59" s="126">
        <f t="shared" si="6"/>
        <v>4.9781272430546863E-3</v>
      </c>
      <c r="U59" s="7">
        <v>0.80403886713189265</v>
      </c>
      <c r="V59" s="126">
        <f t="shared" si="7"/>
        <v>2.4127018267897649E-3</v>
      </c>
      <c r="W59" s="7">
        <v>0.58537255046568348</v>
      </c>
    </row>
    <row r="60" spans="3:23" x14ac:dyDescent="0.2">
      <c r="C60" s="125">
        <v>2.6703537555513241</v>
      </c>
      <c r="D60" s="16">
        <v>0.45399049973954686</v>
      </c>
      <c r="E60" s="16">
        <v>-0.89100652418836779</v>
      </c>
      <c r="F60" s="16">
        <v>-0.45399049973954686</v>
      </c>
      <c r="G60" s="16">
        <v>0.89100652418836779</v>
      </c>
      <c r="H60" s="126">
        <f t="shared" si="0"/>
        <v>3.6595996945555376E-3</v>
      </c>
      <c r="I60" s="7">
        <v>-0.88734692449381225</v>
      </c>
      <c r="J60" s="126">
        <f t="shared" si="1"/>
        <v>9.3271313002030176E-4</v>
      </c>
      <c r="K60" s="7">
        <v>-0.45305778660952656</v>
      </c>
      <c r="L60" s="126">
        <f t="shared" si="2"/>
        <v>5.4826337180056139E-3</v>
      </c>
      <c r="M60" s="7">
        <v>0.88552389047036217</v>
      </c>
      <c r="N60" s="126">
        <f t="shared" si="3"/>
        <v>1.8635100223833856E-3</v>
      </c>
      <c r="O60" s="7">
        <v>0.45212698971716347</v>
      </c>
      <c r="P60" s="126">
        <f t="shared" si="4"/>
        <v>3.6595996945555376E-3</v>
      </c>
      <c r="Q60" s="7">
        <v>-0.88734692449381225</v>
      </c>
      <c r="R60" s="126">
        <f t="shared" si="5"/>
        <v>9.3271313001863643E-4</v>
      </c>
      <c r="S60" s="7">
        <v>-0.45305778660952822</v>
      </c>
      <c r="T60" s="126">
        <f t="shared" si="6"/>
        <v>5.482633718015717E-3</v>
      </c>
      <c r="U60" s="7">
        <v>0.88552389047035207</v>
      </c>
      <c r="V60" s="126">
        <f t="shared" si="7"/>
        <v>1.8635100220798506E-3</v>
      </c>
      <c r="W60" s="7">
        <v>0.45212698971746701</v>
      </c>
    </row>
    <row r="61" spans="3:23" x14ac:dyDescent="0.2">
      <c r="C61" s="125">
        <v>2.8274333882308138</v>
      </c>
      <c r="D61" s="16">
        <v>0.30901699437494751</v>
      </c>
      <c r="E61" s="16">
        <v>-0.95105651629515353</v>
      </c>
      <c r="F61" s="16">
        <v>-0.30901699437494751</v>
      </c>
      <c r="G61" s="16">
        <v>0.95105651629515353</v>
      </c>
      <c r="H61" s="126">
        <f t="shared" si="0"/>
        <v>3.9062409107603058E-3</v>
      </c>
      <c r="I61" s="7">
        <v>-0.94715027538439323</v>
      </c>
      <c r="J61" s="126">
        <f t="shared" si="1"/>
        <v>6.3486836887061138E-4</v>
      </c>
      <c r="K61" s="7">
        <v>-0.3083821260060769</v>
      </c>
      <c r="L61" s="126">
        <f t="shared" si="2"/>
        <v>5.8521395550324984E-3</v>
      </c>
      <c r="M61" s="7">
        <v>0.94520437674012103</v>
      </c>
      <c r="N61" s="126">
        <f t="shared" si="3"/>
        <v>1.2684324147547721E-3</v>
      </c>
      <c r="O61" s="7">
        <v>0.30774856196019273</v>
      </c>
      <c r="P61" s="126">
        <f t="shared" si="4"/>
        <v>3.9062409107606388E-3</v>
      </c>
      <c r="Q61" s="7">
        <v>-0.94715027538439289</v>
      </c>
      <c r="R61" s="126">
        <f t="shared" si="5"/>
        <v>6.3486836887161058E-4</v>
      </c>
      <c r="S61" s="7">
        <v>-0.3083821260060759</v>
      </c>
      <c r="T61" s="126">
        <f t="shared" si="6"/>
        <v>5.8521395550276134E-3</v>
      </c>
      <c r="U61" s="7">
        <v>0.94520437674012592</v>
      </c>
      <c r="V61" s="126">
        <f t="shared" si="7"/>
        <v>1.2684324144378589E-3</v>
      </c>
      <c r="W61" s="7">
        <v>0.30774856196050965</v>
      </c>
    </row>
    <row r="62" spans="3:23" x14ac:dyDescent="0.2">
      <c r="C62" s="125">
        <v>2.9845130209103035</v>
      </c>
      <c r="D62" s="16">
        <v>0.15643446504023098</v>
      </c>
      <c r="E62" s="16">
        <v>-0.98768834059513766</v>
      </c>
      <c r="F62" s="16">
        <v>-0.15643446504023098</v>
      </c>
      <c r="G62" s="16">
        <v>0.98768834059513766</v>
      </c>
      <c r="H62" s="126">
        <f t="shared" si="0"/>
        <v>4.056697511671703E-3</v>
      </c>
      <c r="I62" s="7">
        <v>-0.98363164308346596</v>
      </c>
      <c r="J62" s="126">
        <f t="shared" si="1"/>
        <v>3.2139104147280162E-4</v>
      </c>
      <c r="K62" s="7">
        <v>-0.15611307399875818</v>
      </c>
      <c r="L62" s="126">
        <f t="shared" si="2"/>
        <v>5.8570672152958858E-3</v>
      </c>
      <c r="M62" s="7">
        <v>0.99354540781043355</v>
      </c>
      <c r="N62" s="126">
        <f t="shared" si="3"/>
        <v>6.9356691619424371E-3</v>
      </c>
      <c r="O62" s="7">
        <v>0.16337013420217342</v>
      </c>
      <c r="P62" s="126">
        <f t="shared" si="4"/>
        <v>4.0566975116720361E-3</v>
      </c>
      <c r="Q62" s="7">
        <v>-0.98363164308346562</v>
      </c>
      <c r="R62" s="126">
        <f t="shared" si="5"/>
        <v>3.2139104147260733E-4</v>
      </c>
      <c r="S62" s="7">
        <v>-0.15611307399875837</v>
      </c>
      <c r="T62" s="126">
        <f t="shared" si="6"/>
        <v>5.8570672153545056E-3</v>
      </c>
      <c r="U62" s="7">
        <v>0.99354540781049216</v>
      </c>
      <c r="V62" s="126">
        <f t="shared" si="7"/>
        <v>6.9356691662696146E-3</v>
      </c>
      <c r="W62" s="7">
        <v>0.16337013420650059</v>
      </c>
    </row>
    <row r="63" spans="3:23" x14ac:dyDescent="0.2">
      <c r="C63" s="125">
        <v>3.1415926535897931</v>
      </c>
      <c r="D63" s="16">
        <v>1.22514845490862E-16</v>
      </c>
      <c r="E63" s="16">
        <v>-1</v>
      </c>
      <c r="F63" s="16">
        <v>-1.22514845490862E-16</v>
      </c>
      <c r="G63" s="16">
        <v>1</v>
      </c>
      <c r="H63" s="126">
        <f t="shared" si="0"/>
        <v>8.1538274036567771E-3</v>
      </c>
      <c r="I63" s="7">
        <v>-1.0081538274036568</v>
      </c>
      <c r="J63" s="126">
        <f t="shared" si="1"/>
        <v>3.8440219914382063E-3</v>
      </c>
      <c r="K63" s="7">
        <v>-3.844021991438329E-3</v>
      </c>
      <c r="L63" s="126">
        <f t="shared" si="2"/>
        <v>4.1886438880781807E-2</v>
      </c>
      <c r="M63" s="7">
        <v>1.0418864388807818</v>
      </c>
      <c r="N63" s="126">
        <f t="shared" si="3"/>
        <v>1.8991706445430502E-2</v>
      </c>
      <c r="O63" s="7">
        <v>1.8991706445430624E-2</v>
      </c>
      <c r="P63" s="126">
        <f t="shared" si="4"/>
        <v>8.1538274036569991E-3</v>
      </c>
      <c r="Q63" s="7">
        <v>-1.008153827403657</v>
      </c>
      <c r="R63" s="126">
        <f t="shared" si="5"/>
        <v>3.8440219914379426E-3</v>
      </c>
      <c r="S63" s="7">
        <v>-3.8440219914380653E-3</v>
      </c>
      <c r="T63" s="126">
        <f t="shared" si="6"/>
        <v>4.1886438880528898E-2</v>
      </c>
      <c r="U63" s="7">
        <v>1.0418864388805289</v>
      </c>
      <c r="V63" s="126">
        <f t="shared" si="7"/>
        <v>1.8991706443560095E-2</v>
      </c>
      <c r="W63" s="7">
        <v>1.8991706443560217E-2</v>
      </c>
    </row>
    <row r="66" spans="1:11" customFormat="1" ht="23.25" x14ac:dyDescent="0.2">
      <c r="A66" s="7" t="s">
        <v>6</v>
      </c>
      <c r="B66" s="12" t="s">
        <v>809</v>
      </c>
      <c r="C66" s="8"/>
      <c r="D66" s="8"/>
      <c r="E66" s="8"/>
      <c r="F66" s="8"/>
      <c r="G66" s="8"/>
      <c r="H66" s="8"/>
      <c r="I66" s="8"/>
      <c r="J66" s="8"/>
      <c r="K66" s="7"/>
    </row>
    <row r="67" spans="1:11" customFormat="1" ht="18" customHeight="1" x14ac:dyDescent="0.2">
      <c r="A67" s="7"/>
      <c r="B67" s="38" t="s">
        <v>537</v>
      </c>
      <c r="C67" s="7"/>
      <c r="D67" s="7"/>
      <c r="E67" s="7"/>
      <c r="F67" s="7"/>
      <c r="G67" s="7"/>
      <c r="H67" s="7"/>
      <c r="I67" s="7"/>
      <c r="J67" s="7"/>
      <c r="K67" s="7"/>
    </row>
    <row r="68" spans="1:11" x14ac:dyDescent="0.2">
      <c r="B68" s="41" t="s">
        <v>543</v>
      </c>
    </row>
    <row r="70" spans="1:11" x14ac:dyDescent="0.2">
      <c r="B70" s="57" t="s">
        <v>548</v>
      </c>
    </row>
    <row r="72" spans="1:11" ht="16.5" x14ac:dyDescent="0.2">
      <c r="B72" s="77" t="s">
        <v>443</v>
      </c>
      <c r="C72" s="77" t="s">
        <v>541</v>
      </c>
      <c r="D72" s="77" t="s">
        <v>542</v>
      </c>
      <c r="E72" s="77" t="s">
        <v>538</v>
      </c>
      <c r="F72" s="77" t="s">
        <v>539</v>
      </c>
      <c r="G72" s="45" t="s">
        <v>549</v>
      </c>
      <c r="H72" s="52" t="s">
        <v>533</v>
      </c>
      <c r="I72" s="45" t="s">
        <v>550</v>
      </c>
      <c r="J72" s="52" t="s">
        <v>534</v>
      </c>
    </row>
    <row r="73" spans="1:11" x14ac:dyDescent="0.2">
      <c r="B73" s="76">
        <v>0</v>
      </c>
      <c r="C73" s="125" cm="1">
        <f t="array" ref="C73:C103">L.LINSPACE(B73,B75,B77)</f>
        <v>0</v>
      </c>
      <c r="D73" s="16" cm="1">
        <f t="array" ref="D73:D103">1/(1+25*_xlfn.ANCHORARRAY(C73)^2)</f>
        <v>1</v>
      </c>
      <c r="E73" s="16" cm="1">
        <f t="array" ref="E73:E103">(-50*_xlfn.ANCHORARRAY(C73))/(1+25*_xlfn.ANCHORARRAY(C73)^2)^2</f>
        <v>0</v>
      </c>
      <c r="F73" s="7" cm="1">
        <f t="array" ref="F73:F103">(5000*_xlfn.ANCHORARRAY(C73)^2)/(1+25*_xlfn.ANCHORARRAY(C73)^2)^3-50/(1+25*_xlfn.ANCHORARRAY(C73)^2)^2</f>
        <v>-50</v>
      </c>
      <c r="G73" s="126" cm="1">
        <f t="array" ref="G73:G103">ABS(_xlfn.ANCHORARRAY(H73)-_xlfn.ANCHORARRAY($E73))</f>
        <v>1.6775396085743785E-2</v>
      </c>
      <c r="H73" s="7" cm="1">
        <f t="array" ref="H73:H103">L.PDIFF(_xlfn.ANCHORARRAY(C73),_xlfn.ANCHORARRAY(D73),1,$B$79)</f>
        <v>-1.6775396085743785E-2</v>
      </c>
      <c r="I73" s="126" cm="1">
        <f t="array" ref="I73:I103">ABS(_xlfn.ANCHORARRAY(J73)-_xlfn.ANCHORARRAY($F73))</f>
        <v>3.2865522723523171</v>
      </c>
      <c r="J73" s="7" cm="1">
        <f t="array" ref="J73:J103">L.PDIFF(_xlfn.ANCHORARRAY(C73),_xlfn.ANCHORARRAY(D73),2,$B$79)</f>
        <v>-53.286552272352317</v>
      </c>
    </row>
    <row r="74" spans="1:11" x14ac:dyDescent="0.2">
      <c r="B74" s="77" t="s">
        <v>474</v>
      </c>
      <c r="C74" s="125">
        <v>1.6666666666666666E-2</v>
      </c>
      <c r="D74" s="16">
        <v>0.99310344827586206</v>
      </c>
      <c r="E74" s="16">
        <v>-0.82187871581450656</v>
      </c>
      <c r="F74" s="7">
        <v>-47.952371970970525</v>
      </c>
      <c r="G74" s="126">
        <v>1.1067905003697476E-2</v>
      </c>
      <c r="H74" s="7">
        <v>-0.81081081081080908</v>
      </c>
      <c r="I74" s="126">
        <v>0.31024708746665652</v>
      </c>
      <c r="J74" s="7">
        <v>-47.642124883503868</v>
      </c>
    </row>
    <row r="75" spans="1:11" x14ac:dyDescent="0.2">
      <c r="B75" s="76">
        <v>0.5</v>
      </c>
      <c r="C75" s="125">
        <v>3.3333333333333333E-2</v>
      </c>
      <c r="D75" s="16">
        <v>0.97297297297297303</v>
      </c>
      <c r="E75" s="16">
        <v>-1.5777940102264432</v>
      </c>
      <c r="F75" s="7">
        <v>-42.216650543896719</v>
      </c>
      <c r="G75" s="126">
        <v>1.9984679597639721E-2</v>
      </c>
      <c r="H75" s="7">
        <v>-1.5578093306288034</v>
      </c>
      <c r="I75" s="126">
        <v>0.21895304924134962</v>
      </c>
      <c r="J75" s="7">
        <v>-41.99769749465537</v>
      </c>
    </row>
    <row r="76" spans="1:11" x14ac:dyDescent="0.2">
      <c r="B76" s="77" t="s">
        <v>547</v>
      </c>
      <c r="C76" s="125">
        <v>0.05</v>
      </c>
      <c r="D76" s="16">
        <v>0.94117647058823528</v>
      </c>
      <c r="E76" s="16">
        <v>-2.2145328719723185</v>
      </c>
      <c r="F76" s="7">
        <v>-33.869326277223685</v>
      </c>
      <c r="G76" s="126">
        <v>2.5343682783125043E-2</v>
      </c>
      <c r="H76" s="7">
        <v>-2.1891891891891935</v>
      </c>
      <c r="I76" s="126">
        <v>0.10144074463236308</v>
      </c>
      <c r="J76" s="7">
        <v>-33.767885532591322</v>
      </c>
    </row>
    <row r="77" spans="1:11" x14ac:dyDescent="0.2">
      <c r="B77" s="76">
        <v>31</v>
      </c>
      <c r="C77" s="125">
        <v>6.6666666666666666E-2</v>
      </c>
      <c r="D77" s="16">
        <v>0.89999999999999991</v>
      </c>
      <c r="E77" s="16">
        <v>-2.6999999999999997</v>
      </c>
      <c r="F77" s="7">
        <v>-24.299999999999997</v>
      </c>
      <c r="G77" s="126">
        <v>2.6836059867731077E-2</v>
      </c>
      <c r="H77" s="7">
        <v>-2.6731639401322687</v>
      </c>
      <c r="I77" s="126">
        <v>9.0845805776211819E-3</v>
      </c>
      <c r="J77" s="7">
        <v>-24.309084580577618</v>
      </c>
    </row>
    <row r="78" spans="1:11" x14ac:dyDescent="0.2">
      <c r="B78" s="77" t="s">
        <v>540</v>
      </c>
      <c r="C78" s="125">
        <v>8.3333333333333329E-2</v>
      </c>
      <c r="D78" s="16">
        <v>0.85207100591715967</v>
      </c>
      <c r="E78" s="16">
        <v>-3.0251041630195012</v>
      </c>
      <c r="F78" s="7">
        <v>-14.821220396332237</v>
      </c>
      <c r="G78" s="126">
        <v>2.5104163019504355E-2</v>
      </c>
      <c r="H78" s="7">
        <v>-2.9999999999999969</v>
      </c>
      <c r="I78" s="126">
        <v>9.0022207217774763E-2</v>
      </c>
      <c r="J78" s="7">
        <v>-14.911242603550011</v>
      </c>
    </row>
    <row r="79" spans="1:11" x14ac:dyDescent="0.2">
      <c r="B79" s="76">
        <v>2</v>
      </c>
      <c r="C79" s="125">
        <v>9.9999999999999992E-2</v>
      </c>
      <c r="D79" s="16">
        <v>0.8</v>
      </c>
      <c r="E79" s="16">
        <v>-3.2</v>
      </c>
      <c r="F79" s="7">
        <v>-6.4000000000000021</v>
      </c>
      <c r="G79" s="126">
        <v>2.1289511604383637E-2</v>
      </c>
      <c r="H79" s="7">
        <v>-3.1787104883956165</v>
      </c>
      <c r="I79" s="126">
        <v>0.13401600392461965</v>
      </c>
      <c r="J79" s="7">
        <v>-6.5340160039246218</v>
      </c>
    </row>
    <row r="80" spans="1:11" x14ac:dyDescent="0.2">
      <c r="C80" s="125">
        <v>0.11666666666666665</v>
      </c>
      <c r="D80" s="16">
        <v>0.7461139896373058</v>
      </c>
      <c r="E80" s="16">
        <v>-3.2473354989395689</v>
      </c>
      <c r="F80" s="7">
        <v>0.43265757942940297</v>
      </c>
      <c r="G80" s="126">
        <v>1.656626817033624E-2</v>
      </c>
      <c r="H80" s="7">
        <v>-3.2307692307692326</v>
      </c>
      <c r="I80" s="126">
        <v>0.14569066033885336</v>
      </c>
      <c r="J80" s="7">
        <v>0.28696691909054961</v>
      </c>
    </row>
    <row r="81" spans="3:10" x14ac:dyDescent="0.2">
      <c r="C81" s="125">
        <v>0.13333333333333333</v>
      </c>
      <c r="D81" s="16">
        <v>0.69230769230769229</v>
      </c>
      <c r="E81" s="16">
        <v>-3.1952662721893494</v>
      </c>
      <c r="F81" s="7">
        <v>5.5302685480200253</v>
      </c>
      <c r="G81" s="126">
        <v>1.1846583070177275E-2</v>
      </c>
      <c r="H81" s="7">
        <v>-3.1834196891191722</v>
      </c>
      <c r="I81" s="126">
        <v>0.1352904691035377</v>
      </c>
      <c r="J81" s="7">
        <v>5.3949780789164876</v>
      </c>
    </row>
    <row r="82" spans="3:10" x14ac:dyDescent="0.2">
      <c r="C82" s="125">
        <v>0.15</v>
      </c>
      <c r="D82" s="16">
        <v>0.64</v>
      </c>
      <c r="E82" s="16">
        <v>-3.0720000000000001</v>
      </c>
      <c r="F82" s="7">
        <v>9.0111999999999988</v>
      </c>
      <c r="G82" s="126">
        <v>7.687263556116708E-3</v>
      </c>
      <c r="H82" s="7">
        <v>-3.0643127364438834</v>
      </c>
      <c r="I82" s="126">
        <v>0.11334375788170092</v>
      </c>
      <c r="J82" s="7">
        <v>8.8978562421182978</v>
      </c>
    </row>
    <row r="83" spans="3:10" x14ac:dyDescent="0.2">
      <c r="C83" s="125">
        <v>0.16666666666666666</v>
      </c>
      <c r="D83" s="16">
        <v>0.5901639344262295</v>
      </c>
      <c r="E83" s="16">
        <v>-2.9024455791453905</v>
      </c>
      <c r="F83" s="7">
        <v>11.133971565901991</v>
      </c>
      <c r="G83" s="126">
        <v>4.3323715982199751E-3</v>
      </c>
      <c r="H83" s="7">
        <v>-2.8981132075471705</v>
      </c>
      <c r="I83" s="126">
        <v>8.7884340414738915E-2</v>
      </c>
      <c r="J83" s="7">
        <v>11.046087225487252</v>
      </c>
    </row>
    <row r="84" spans="3:10" x14ac:dyDescent="0.2">
      <c r="C84" s="125">
        <v>0.18333333333333332</v>
      </c>
      <c r="D84" s="16">
        <v>0.54339622641509433</v>
      </c>
      <c r="E84" s="16">
        <v>-2.7067283730865079</v>
      </c>
      <c r="F84" s="7">
        <v>12.201170093432832</v>
      </c>
      <c r="G84" s="126">
        <v>1.8103402996230145E-3</v>
      </c>
      <c r="H84" s="7">
        <v>-2.7049180327868849</v>
      </c>
      <c r="I84" s="126">
        <v>6.3836347685832351E-2</v>
      </c>
      <c r="J84" s="7">
        <v>12.137333745747</v>
      </c>
    </row>
    <row r="85" spans="3:10" x14ac:dyDescent="0.2">
      <c r="C85" s="125">
        <v>0.19999999999999998</v>
      </c>
      <c r="D85" s="16">
        <v>0.5</v>
      </c>
      <c r="E85" s="16">
        <v>-2.5</v>
      </c>
      <c r="F85" s="7">
        <v>12.499999999999996</v>
      </c>
      <c r="G85" s="126">
        <v>3.0140454521099258E-5</v>
      </c>
      <c r="H85" s="7">
        <v>-2.4999698595454789</v>
      </c>
      <c r="I85" s="126">
        <v>4.3552956778320606E-2</v>
      </c>
      <c r="J85" s="7">
        <v>12.456447043221676</v>
      </c>
    </row>
    <row r="86" spans="3:10" x14ac:dyDescent="0.2">
      <c r="C86" s="125">
        <v>0.21666666666666665</v>
      </c>
      <c r="D86" s="16">
        <v>0.46006389776357837</v>
      </c>
      <c r="E86" s="16">
        <v>-2.2929702252753428</v>
      </c>
      <c r="F86" s="7">
        <v>12.27350491680928</v>
      </c>
      <c r="G86" s="126">
        <v>1.1474217834801514E-3</v>
      </c>
      <c r="H86" s="7">
        <v>-2.2941176470588229</v>
      </c>
      <c r="I86" s="126">
        <v>2.7686461632155712E-2</v>
      </c>
      <c r="J86" s="7">
        <v>12.245818455177124</v>
      </c>
    </row>
    <row r="87" spans="3:10" x14ac:dyDescent="0.2">
      <c r="C87" s="125">
        <v>0.23333333333333331</v>
      </c>
      <c r="D87" s="16">
        <v>0.42352941176470593</v>
      </c>
      <c r="E87" s="16">
        <v>-2.0927335640138414</v>
      </c>
      <c r="F87" s="7">
        <v>11.712273559943014</v>
      </c>
      <c r="G87" s="126">
        <v>1.86629572277619E-3</v>
      </c>
      <c r="H87" s="7">
        <v>-2.0945998597366176</v>
      </c>
      <c r="I87" s="126">
        <v>1.5957536455481147E-2</v>
      </c>
      <c r="J87" s="7">
        <v>11.696316023487533</v>
      </c>
    </row>
    <row r="88" spans="3:10" x14ac:dyDescent="0.2">
      <c r="C88" s="125">
        <v>0.24999999999999997</v>
      </c>
      <c r="D88" s="16">
        <v>0.39024390243902446</v>
      </c>
      <c r="E88" s="16">
        <v>-1.9036287923854853</v>
      </c>
      <c r="F88" s="7">
        <v>10.957473048853039</v>
      </c>
      <c r="G88" s="126">
        <v>2.2535605556919247E-3</v>
      </c>
      <c r="H88" s="7">
        <v>-1.9058823529411772</v>
      </c>
      <c r="I88" s="126">
        <v>7.6882568876879276E-3</v>
      </c>
      <c r="J88" s="7">
        <v>10.949784791965351</v>
      </c>
    </row>
    <row r="89" spans="3:10" x14ac:dyDescent="0.2">
      <c r="C89" s="125">
        <v>0.26666666666666666</v>
      </c>
      <c r="D89" s="16">
        <v>0.36</v>
      </c>
      <c r="E89" s="16">
        <v>-1.7280000000000002</v>
      </c>
      <c r="F89" s="7">
        <v>10.108799999999999</v>
      </c>
      <c r="G89" s="126">
        <v>2.4117613924408143E-3</v>
      </c>
      <c r="H89" s="7">
        <v>-1.730411761392441</v>
      </c>
      <c r="I89" s="126">
        <v>2.1138061170695721E-3</v>
      </c>
      <c r="J89" s="7">
        <v>10.106686193882929</v>
      </c>
    </row>
    <row r="90" spans="3:10" x14ac:dyDescent="0.2">
      <c r="C90" s="125">
        <v>0.28333333333333333</v>
      </c>
      <c r="D90" s="16">
        <v>0.33256351039260973</v>
      </c>
      <c r="E90" s="16">
        <v>-1.5668119196326187</v>
      </c>
      <c r="F90" s="7">
        <v>9.2335689544440971</v>
      </c>
      <c r="G90" s="126">
        <v>2.4188495981498637E-3</v>
      </c>
      <c r="H90" s="7">
        <v>-1.5692307692307685</v>
      </c>
      <c r="I90" s="126">
        <v>1.4639110735519267E-3</v>
      </c>
      <c r="J90" s="7">
        <v>9.235032865517649</v>
      </c>
    </row>
    <row r="91" spans="3:10" x14ac:dyDescent="0.2">
      <c r="C91" s="125">
        <v>0.3</v>
      </c>
      <c r="D91" s="16">
        <v>0.30769230769230771</v>
      </c>
      <c r="E91" s="16">
        <v>-1.4201183431952662</v>
      </c>
      <c r="F91" s="7">
        <v>8.3750568957669564</v>
      </c>
      <c r="G91" s="126">
        <v>2.3315230384706176E-3</v>
      </c>
      <c r="H91" s="7">
        <v>-1.4224498662337368</v>
      </c>
      <c r="I91" s="126">
        <v>3.6185983591590087E-3</v>
      </c>
      <c r="J91" s="7">
        <v>8.3786754941261155</v>
      </c>
    </row>
    <row r="92" spans="3:10" x14ac:dyDescent="0.2">
      <c r="C92" s="125">
        <v>0.31666666666666665</v>
      </c>
      <c r="D92" s="16">
        <v>0.28514851485148518</v>
      </c>
      <c r="E92" s="16">
        <v>-1.2874031957651211</v>
      </c>
      <c r="F92" s="7">
        <v>7.5593846846698209</v>
      </c>
      <c r="G92" s="126">
        <v>2.1895644158753669E-3</v>
      </c>
      <c r="H92" s="7">
        <v>-1.2895927601809964</v>
      </c>
      <c r="I92" s="126">
        <v>4.7925475328387535E-3</v>
      </c>
      <c r="J92" s="7">
        <v>7.5641772322026597</v>
      </c>
    </row>
    <row r="93" spans="3:10" x14ac:dyDescent="0.2">
      <c r="C93" s="125">
        <v>0.33333333333333331</v>
      </c>
      <c r="D93" s="16">
        <v>0.26470588235294118</v>
      </c>
      <c r="E93" s="16">
        <v>-1.167820069204152</v>
      </c>
      <c r="F93" s="7">
        <v>6.8008345206594747</v>
      </c>
      <c r="G93" s="126">
        <v>2.019991725018544E-3</v>
      </c>
      <c r="H93" s="7">
        <v>-1.1698400609291706</v>
      </c>
      <c r="I93" s="126">
        <v>5.3121573568875036E-3</v>
      </c>
      <c r="J93" s="7">
        <v>6.8061466780163622</v>
      </c>
    </row>
    <row r="94" spans="3:10" x14ac:dyDescent="0.2">
      <c r="C94" s="125">
        <v>0.35</v>
      </c>
      <c r="D94" s="16">
        <v>0.24615384615384617</v>
      </c>
      <c r="E94" s="16">
        <v>-1.0603550295857989</v>
      </c>
      <c r="F94" s="7">
        <v>6.1057806099226202</v>
      </c>
      <c r="G94" s="126">
        <v>1.8405492826907288E-3</v>
      </c>
      <c r="H94" s="7">
        <v>-1.0621955788684896</v>
      </c>
      <c r="I94" s="126">
        <v>5.4105593427786758E-3</v>
      </c>
      <c r="J94" s="7">
        <v>6.1111911692653988</v>
      </c>
    </row>
    <row r="95" spans="3:10" x14ac:dyDescent="0.2">
      <c r="C95" s="125">
        <v>0.36666666666666664</v>
      </c>
      <c r="D95" s="16">
        <v>0.22929936305732487</v>
      </c>
      <c r="E95" s="16">
        <v>-0.96393362813907268</v>
      </c>
      <c r="F95" s="7">
        <v>5.47550022700886</v>
      </c>
      <c r="G95" s="126">
        <v>1.6624399829985315E-3</v>
      </c>
      <c r="H95" s="7">
        <v>-0.96559606812207122</v>
      </c>
      <c r="I95" s="126">
        <v>5.2498932959537115E-3</v>
      </c>
      <c r="J95" s="7">
        <v>5.4807501203048137</v>
      </c>
    </row>
    <row r="96" spans="3:10" x14ac:dyDescent="0.2">
      <c r="C96" s="125">
        <v>0.3833333333333333</v>
      </c>
      <c r="D96" s="16">
        <v>0.21396731054977713</v>
      </c>
      <c r="E96" s="16">
        <v>-0.87748852469150795</v>
      </c>
      <c r="F96" s="7">
        <v>4.9081307880218867</v>
      </c>
      <c r="G96" s="126">
        <v>1.492367028238073E-3</v>
      </c>
      <c r="H96" s="7">
        <v>-0.87898089171974603</v>
      </c>
      <c r="I96" s="126">
        <v>4.9402599523267199E-3</v>
      </c>
      <c r="J96" s="7">
        <v>4.9130710479742135</v>
      </c>
    </row>
    <row r="97" spans="3:10" x14ac:dyDescent="0.2">
      <c r="C97" s="125">
        <v>0.39999999999999997</v>
      </c>
      <c r="D97" s="16">
        <v>0.2</v>
      </c>
      <c r="E97" s="16">
        <v>-0.8</v>
      </c>
      <c r="F97" s="7">
        <v>4.3999999999999995</v>
      </c>
      <c r="G97" s="126">
        <v>1.3340109016355406E-3</v>
      </c>
      <c r="H97" s="7">
        <v>-0.80133401090163559</v>
      </c>
      <c r="I97" s="126">
        <v>4.5546501990312294E-3</v>
      </c>
      <c r="J97" s="7">
        <v>4.4045546501990307</v>
      </c>
    </row>
    <row r="98" spans="3:10" x14ac:dyDescent="0.2">
      <c r="C98" s="125">
        <v>0.41666666666666663</v>
      </c>
      <c r="D98" s="16">
        <v>0.18725617685305596</v>
      </c>
      <c r="E98" s="16">
        <v>-0.73051824520047848</v>
      </c>
      <c r="F98" s="7">
        <v>3.9465084497540541</v>
      </c>
      <c r="G98" s="126">
        <v>1.1890718726921268E-3</v>
      </c>
      <c r="H98" s="7">
        <v>-0.7317073170731706</v>
      </c>
      <c r="I98" s="126">
        <v>4.1401594626617744E-3</v>
      </c>
      <c r="J98" s="7">
        <v>3.9506486092167159</v>
      </c>
    </row>
    <row r="99" spans="3:10" x14ac:dyDescent="0.2">
      <c r="C99" s="125">
        <v>0.43333333333333329</v>
      </c>
      <c r="D99" s="16">
        <v>0.17560975609756099</v>
      </c>
      <c r="E99" s="16">
        <v>-0.66817370612730531</v>
      </c>
      <c r="F99" s="7">
        <v>3.5426996125999342</v>
      </c>
      <c r="G99" s="126">
        <v>1.0579912169500494E-3</v>
      </c>
      <c r="H99" s="7">
        <v>-0.66923169734425536</v>
      </c>
      <c r="I99" s="126">
        <v>3.7261456531743065E-3</v>
      </c>
      <c r="J99" s="7">
        <v>3.5464257582531085</v>
      </c>
    </row>
    <row r="100" spans="3:10" x14ac:dyDescent="0.2">
      <c r="C100" s="125">
        <v>0.44999999999999996</v>
      </c>
      <c r="D100" s="16">
        <v>0.16494845360824745</v>
      </c>
      <c r="E100" s="16">
        <v>-0.61217982782442359</v>
      </c>
      <c r="F100" s="7">
        <v>3.1836155994534749</v>
      </c>
      <c r="G100" s="126">
        <v>9.4044130930270864E-4</v>
      </c>
      <c r="H100" s="7">
        <v>-0.6131202691337263</v>
      </c>
      <c r="I100" s="126">
        <v>3.3300275569327908E-3</v>
      </c>
      <c r="J100" s="7">
        <v>3.1869456270104077</v>
      </c>
    </row>
    <row r="101" spans="3:10" x14ac:dyDescent="0.2">
      <c r="C101" s="125">
        <v>0.46666666666666662</v>
      </c>
      <c r="D101" s="16">
        <v>0.15517241379310345</v>
      </c>
      <c r="E101" s="16">
        <v>-0.56183115338882295</v>
      </c>
      <c r="F101" s="7">
        <v>2.8645085899380875</v>
      </c>
      <c r="G101" s="126">
        <v>8.3565282814257458E-4</v>
      </c>
      <c r="H101" s="7">
        <v>-0.56266680621696552</v>
      </c>
      <c r="I101" s="126">
        <v>2.9613330628341927E-3</v>
      </c>
      <c r="J101" s="7">
        <v>2.8674699230009217</v>
      </c>
    </row>
    <row r="102" spans="3:10" x14ac:dyDescent="0.2">
      <c r="C102" s="125">
        <v>0.48333333333333328</v>
      </c>
      <c r="D102" s="16">
        <v>0.14619289340101527</v>
      </c>
      <c r="E102" s="16">
        <v>-0.51649875028988146</v>
      </c>
      <c r="F102" s="7">
        <v>2.5809568218581376</v>
      </c>
      <c r="G102" s="126">
        <v>7.4262902046295931E-4</v>
      </c>
      <c r="H102" s="7">
        <v>-0.51724137931034442</v>
      </c>
      <c r="I102" s="126">
        <v>2.6244839354894189E-3</v>
      </c>
      <c r="J102" s="7">
        <v>2.583581305793627</v>
      </c>
    </row>
    <row r="103" spans="3:10" x14ac:dyDescent="0.2">
      <c r="C103" s="125">
        <v>0.49999999999999994</v>
      </c>
      <c r="D103" s="16">
        <v>0.13793103448275865</v>
      </c>
      <c r="E103" s="16">
        <v>-0.47562425683709886</v>
      </c>
      <c r="F103" s="7">
        <v>2.3289187748575189</v>
      </c>
      <c r="G103" s="126">
        <v>1.4425659566482119E-3</v>
      </c>
      <c r="H103" s="7">
        <v>-0.47418169088045065</v>
      </c>
      <c r="I103" s="126">
        <v>2.9226086271118668E-2</v>
      </c>
      <c r="J103" s="7">
        <v>2.2996926885864002</v>
      </c>
    </row>
    <row r="104" spans="3:10" x14ac:dyDescent="0.2">
      <c r="C104" s="125"/>
      <c r="D104" s="16"/>
      <c r="E104" s="16"/>
      <c r="G104" s="126"/>
      <c r="I104" s="126"/>
    </row>
    <row r="105" spans="3:10" x14ac:dyDescent="0.2">
      <c r="C105" s="125"/>
      <c r="D105" s="16"/>
      <c r="E105" s="16"/>
      <c r="G105" s="126"/>
      <c r="I105" s="126"/>
    </row>
    <row r="106" spans="3:10" x14ac:dyDescent="0.2">
      <c r="C106" s="125"/>
      <c r="D106" s="16"/>
      <c r="E106" s="16"/>
      <c r="G106" s="126"/>
      <c r="I106" s="126"/>
    </row>
    <row r="107" spans="3:10" x14ac:dyDescent="0.2">
      <c r="C107" s="125"/>
      <c r="D107" s="16"/>
      <c r="E107" s="16"/>
      <c r="G107" s="126"/>
      <c r="I107" s="126"/>
    </row>
    <row r="108" spans="3:10" x14ac:dyDescent="0.2">
      <c r="C108" s="125"/>
      <c r="D108" s="16"/>
      <c r="E108" s="16"/>
      <c r="G108" s="126"/>
      <c r="I108" s="126"/>
    </row>
    <row r="109" spans="3:10" x14ac:dyDescent="0.2">
      <c r="C109" s="125"/>
      <c r="D109" s="16"/>
      <c r="E109" s="16"/>
      <c r="G109" s="126"/>
      <c r="I109" s="126"/>
    </row>
    <row r="110" spans="3:10" x14ac:dyDescent="0.2">
      <c r="C110" s="125"/>
      <c r="D110" s="16"/>
      <c r="E110" s="16"/>
      <c r="G110" s="126"/>
      <c r="I110" s="126"/>
    </row>
    <row r="111" spans="3:10" x14ac:dyDescent="0.2">
      <c r="C111" s="125"/>
      <c r="D111" s="16"/>
      <c r="E111" s="16"/>
      <c r="G111" s="126"/>
      <c r="I111" s="126"/>
    </row>
    <row r="112" spans="3:10" x14ac:dyDescent="0.2">
      <c r="C112" s="125"/>
      <c r="D112" s="16"/>
      <c r="E112" s="16"/>
      <c r="G112" s="126"/>
      <c r="I112" s="126"/>
    </row>
    <row r="113" spans="3:9" x14ac:dyDescent="0.2">
      <c r="C113" s="125"/>
      <c r="D113" s="16"/>
      <c r="E113" s="16"/>
      <c r="G113" s="126"/>
      <c r="I113" s="126"/>
    </row>
    <row r="114" spans="3:9" x14ac:dyDescent="0.2">
      <c r="C114" s="125"/>
      <c r="D114" s="16"/>
      <c r="E114" s="16"/>
      <c r="G114" s="126"/>
      <c r="I114" s="126"/>
    </row>
    <row r="115" spans="3:9" x14ac:dyDescent="0.2">
      <c r="C115" s="125"/>
      <c r="D115" s="16"/>
      <c r="E115" s="16"/>
      <c r="G115" s="126"/>
      <c r="I115" s="126"/>
    </row>
    <row r="116" spans="3:9" x14ac:dyDescent="0.2">
      <c r="C116" s="125"/>
      <c r="D116" s="16"/>
      <c r="E116" s="16"/>
      <c r="G116" s="126"/>
      <c r="I116" s="126"/>
    </row>
    <row r="117" spans="3:9" x14ac:dyDescent="0.2">
      <c r="C117" s="125"/>
      <c r="D117" s="16"/>
      <c r="E117" s="16"/>
      <c r="G117" s="126"/>
      <c r="I117" s="126"/>
    </row>
    <row r="118" spans="3:9" x14ac:dyDescent="0.2">
      <c r="C118" s="125"/>
      <c r="D118" s="16"/>
      <c r="E118" s="16"/>
      <c r="G118" s="126"/>
      <c r="I118" s="126"/>
    </row>
    <row r="119" spans="3:9" x14ac:dyDescent="0.2">
      <c r="C119" s="125"/>
      <c r="D119" s="16"/>
      <c r="E119" s="16"/>
      <c r="G119" s="126"/>
      <c r="I119" s="126"/>
    </row>
    <row r="120" spans="3:9" x14ac:dyDescent="0.2">
      <c r="C120" s="125"/>
      <c r="D120" s="16"/>
      <c r="E120" s="16"/>
      <c r="G120" s="126"/>
      <c r="I120" s="126"/>
    </row>
    <row r="121" spans="3:9" x14ac:dyDescent="0.2">
      <c r="C121" s="125"/>
      <c r="D121" s="16"/>
      <c r="E121" s="16"/>
      <c r="G121" s="126"/>
      <c r="I121" s="126"/>
    </row>
    <row r="122" spans="3:9" x14ac:dyDescent="0.2">
      <c r="C122" s="125"/>
      <c r="D122" s="16"/>
      <c r="E122" s="16"/>
      <c r="G122" s="126"/>
      <c r="I122" s="126"/>
    </row>
    <row r="123" spans="3:9" x14ac:dyDescent="0.2">
      <c r="C123" s="125"/>
      <c r="D123" s="16"/>
      <c r="E123" s="16"/>
      <c r="G123" s="126"/>
      <c r="I123" s="126"/>
    </row>
    <row r="124" spans="3:9" x14ac:dyDescent="0.2">
      <c r="C124" s="125"/>
      <c r="D124" s="16"/>
      <c r="E124" s="16"/>
      <c r="G124" s="126"/>
      <c r="I124" s="126"/>
    </row>
    <row r="125" spans="3:9" x14ac:dyDescent="0.2">
      <c r="C125" s="125"/>
      <c r="D125" s="16"/>
      <c r="E125" s="16"/>
      <c r="G125" s="126"/>
      <c r="I125" s="126"/>
    </row>
    <row r="126" spans="3:9" x14ac:dyDescent="0.2">
      <c r="C126" s="125"/>
      <c r="D126" s="16"/>
      <c r="E126" s="16"/>
      <c r="G126" s="126"/>
      <c r="I126" s="126"/>
    </row>
    <row r="127" spans="3:9" x14ac:dyDescent="0.2">
      <c r="C127" s="125"/>
      <c r="D127" s="16"/>
      <c r="E127" s="16"/>
      <c r="G127" s="126"/>
      <c r="I127" s="126"/>
    </row>
    <row r="128" spans="3:9" x14ac:dyDescent="0.2">
      <c r="C128" s="125"/>
      <c r="D128" s="16"/>
      <c r="E128" s="16"/>
      <c r="G128" s="126"/>
      <c r="I128" s="126"/>
    </row>
    <row r="129" spans="1:11" x14ac:dyDescent="0.2">
      <c r="C129" s="125"/>
      <c r="D129" s="16"/>
      <c r="E129" s="16"/>
      <c r="G129" s="126"/>
      <c r="I129" s="126"/>
    </row>
    <row r="130" spans="1:11" x14ac:dyDescent="0.2">
      <c r="C130" s="125"/>
      <c r="D130" s="16"/>
      <c r="E130" s="16"/>
      <c r="G130" s="126"/>
      <c r="I130" s="126"/>
    </row>
    <row r="131" spans="1:11" x14ac:dyDescent="0.2">
      <c r="C131" s="125"/>
      <c r="D131" s="16"/>
      <c r="E131" s="16"/>
      <c r="G131" s="126"/>
      <c r="I131" s="126"/>
    </row>
    <row r="132" spans="1:11" x14ac:dyDescent="0.2">
      <c r="C132" s="125"/>
      <c r="D132" s="16"/>
      <c r="E132" s="16"/>
      <c r="G132" s="126"/>
      <c r="I132" s="126"/>
    </row>
    <row r="133" spans="1:11" x14ac:dyDescent="0.2">
      <c r="C133" s="125"/>
      <c r="D133" s="16"/>
      <c r="E133" s="16"/>
      <c r="G133" s="126"/>
      <c r="I133" s="126"/>
    </row>
    <row r="134" spans="1:11" x14ac:dyDescent="0.2">
      <c r="C134" s="125"/>
      <c r="D134" s="16"/>
      <c r="E134" s="16"/>
      <c r="G134" s="126"/>
      <c r="I134" s="126"/>
    </row>
    <row r="135" spans="1:11" x14ac:dyDescent="0.2">
      <c r="C135" s="125"/>
      <c r="D135" s="16"/>
      <c r="E135" s="16"/>
      <c r="G135" s="126"/>
      <c r="I135" s="126"/>
    </row>
    <row r="136" spans="1:11" x14ac:dyDescent="0.2">
      <c r="C136" s="125"/>
      <c r="D136" s="16"/>
      <c r="E136" s="16"/>
      <c r="G136" s="126"/>
      <c r="I136" s="126"/>
    </row>
    <row r="137" spans="1:11" x14ac:dyDescent="0.2">
      <c r="C137" s="125"/>
      <c r="D137" s="16"/>
      <c r="E137" s="16"/>
      <c r="G137" s="126"/>
      <c r="I137" s="126"/>
    </row>
    <row r="138" spans="1:11" x14ac:dyDescent="0.2">
      <c r="C138" s="125"/>
      <c r="D138" s="16"/>
      <c r="E138" s="16"/>
      <c r="G138" s="126"/>
      <c r="I138" s="126"/>
    </row>
    <row r="139" spans="1:11" x14ac:dyDescent="0.2">
      <c r="C139" s="125"/>
      <c r="D139" s="16"/>
      <c r="E139" s="16"/>
      <c r="G139" s="126"/>
      <c r="I139" s="126"/>
    </row>
    <row r="140" spans="1:11" x14ac:dyDescent="0.2">
      <c r="C140" s="125"/>
      <c r="D140" s="16"/>
      <c r="E140" s="16"/>
      <c r="G140" s="126"/>
      <c r="I140" s="126"/>
    </row>
    <row r="141" spans="1:11" x14ac:dyDescent="0.2">
      <c r="C141" s="125"/>
      <c r="D141" s="16"/>
      <c r="E141" s="16"/>
      <c r="G141" s="126"/>
      <c r="I141" s="126"/>
    </row>
    <row r="142" spans="1:11" x14ac:dyDescent="0.2">
      <c r="C142" s="125"/>
      <c r="D142" s="16"/>
      <c r="E142" s="16"/>
      <c r="G142" s="126"/>
      <c r="I142" s="126"/>
    </row>
    <row r="144" spans="1:11" customFormat="1" ht="23.25" x14ac:dyDescent="0.2">
      <c r="A144" s="7" t="s">
        <v>6</v>
      </c>
      <c r="B144" s="12" t="s">
        <v>808</v>
      </c>
      <c r="C144" s="8"/>
      <c r="D144" s="8"/>
      <c r="E144" s="8"/>
      <c r="F144" s="8"/>
      <c r="G144" s="8"/>
      <c r="H144" s="8"/>
      <c r="I144" s="8"/>
      <c r="J144" s="8"/>
      <c r="K144" s="7"/>
    </row>
    <row r="145" spans="1:11" customFormat="1" ht="18" customHeight="1" x14ac:dyDescent="0.2">
      <c r="A145" s="7"/>
      <c r="B145" s="38" t="s">
        <v>551</v>
      </c>
      <c r="C145" s="7"/>
      <c r="D145" s="7"/>
      <c r="E145" s="7"/>
      <c r="F145" s="7"/>
      <c r="G145" s="7"/>
      <c r="H145" s="7"/>
      <c r="I145" s="7"/>
      <c r="J145" s="7"/>
      <c r="K145" s="7"/>
    </row>
    <row r="146" spans="1:11" x14ac:dyDescent="0.2">
      <c r="B146" s="41" t="s">
        <v>552</v>
      </c>
    </row>
    <row r="148" spans="1:11" x14ac:dyDescent="0.2">
      <c r="F148" s="41" t="s">
        <v>629</v>
      </c>
    </row>
    <row r="149" spans="1:11" x14ac:dyDescent="0.2">
      <c r="C149" s="77" t="s">
        <v>328</v>
      </c>
      <c r="D149" s="52" t="s">
        <v>351</v>
      </c>
      <c r="E149"/>
      <c r="F149" s="77" t="s">
        <v>214</v>
      </c>
      <c r="G149" s="76">
        <v>-0.5</v>
      </c>
      <c r="H149" s="76">
        <v>5</v>
      </c>
      <c r="I149" s="76">
        <v>-10</v>
      </c>
      <c r="J149" s="76">
        <v>10</v>
      </c>
    </row>
    <row r="150" spans="1:11" x14ac:dyDescent="0.2">
      <c r="C150" s="76">
        <v>0</v>
      </c>
      <c r="D150" s="76" cm="1">
        <f t="array" ref="D150:D153">L.POLYVAL(G149:J149,C150:C153)</f>
        <v>10</v>
      </c>
      <c r="E150" s="44"/>
    </row>
    <row r="151" spans="1:11" x14ac:dyDescent="0.2">
      <c r="C151" s="76">
        <v>2</v>
      </c>
      <c r="D151" s="76">
        <v>6</v>
      </c>
      <c r="E151" s="44"/>
      <c r="F151" s="52" t="s">
        <v>571</v>
      </c>
      <c r="G151" s="44" cm="1">
        <f t="array" ref="G151:K151">L.POLYINT(G149:J149)</f>
        <v>-0.125</v>
      </c>
      <c r="H151" s="45">
        <v>1.6666666666666667</v>
      </c>
      <c r="I151" s="45">
        <v>-5</v>
      </c>
      <c r="J151" s="45">
        <v>10</v>
      </c>
      <c r="K151" s="7">
        <v>0</v>
      </c>
    </row>
    <row r="152" spans="1:11" x14ac:dyDescent="0.2">
      <c r="C152" s="76">
        <v>4</v>
      </c>
      <c r="D152" s="76">
        <v>18</v>
      </c>
      <c r="E152" s="44"/>
      <c r="F152" s="52" t="s">
        <v>572</v>
      </c>
      <c r="G152" s="44" cm="1">
        <f t="array" ref="G152">L.DIFF(L.POLYVAL(_xlfn.ANCHORARRAY(G151),{0;6}))</f>
        <v>78</v>
      </c>
      <c r="H152" s="128" t="s">
        <v>630</v>
      </c>
      <c r="I152" s="45"/>
      <c r="J152" s="45"/>
    </row>
    <row r="153" spans="1:11" x14ac:dyDescent="0.2">
      <c r="C153" s="76">
        <v>6</v>
      </c>
      <c r="D153" s="76">
        <v>22</v>
      </c>
      <c r="E153" s="44"/>
      <c r="F153" s="44"/>
      <c r="G153" s="45"/>
      <c r="H153" s="44"/>
      <c r="I153" s="45"/>
      <c r="J153" s="45"/>
    </row>
    <row r="155" spans="1:11" x14ac:dyDescent="0.2">
      <c r="C155" s="52" t="s">
        <v>553</v>
      </c>
    </row>
    <row r="156" spans="1:11" x14ac:dyDescent="0.2">
      <c r="C156" s="45" cm="1">
        <f t="array" ref="C156">L.TRAPZ(_xlfn.ANCHORARRAY(D150),C150:C153)</f>
        <v>80</v>
      </c>
    </row>
    <row r="158" spans="1:11" x14ac:dyDescent="0.2">
      <c r="C158" s="52" t="s">
        <v>553</v>
      </c>
      <c r="D158" s="7" t="s">
        <v>631</v>
      </c>
    </row>
    <row r="159" spans="1:11" x14ac:dyDescent="0.2">
      <c r="C159" s="45" cm="1">
        <f t="array" ref="C159">_xlfn.LET(_xlpm.x,L.LINSPACE(C150,C153,1001),_xlpm.y,L.POLYVAL(G149:J149,_xlpm.x),L.TRAPZ(_xlpm.y,_xlpm.x))</f>
        <v>78.000018000000111</v>
      </c>
    </row>
    <row r="161" spans="3:7" x14ac:dyDescent="0.2">
      <c r="C161" s="57" t="s">
        <v>568</v>
      </c>
    </row>
    <row r="162" spans="3:7" ht="16.5" x14ac:dyDescent="0.2">
      <c r="C162" s="7" t="s">
        <v>570</v>
      </c>
    </row>
    <row r="163" spans="3:7" x14ac:dyDescent="0.2">
      <c r="C163" s="57"/>
      <c r="E163" s="16"/>
    </row>
    <row r="164" spans="3:7" x14ac:dyDescent="0.2">
      <c r="C164" s="77" t="s">
        <v>328</v>
      </c>
      <c r="D164" s="77" t="s">
        <v>351</v>
      </c>
      <c r="E164" s="52" t="s">
        <v>553</v>
      </c>
      <c r="G164" s="52" t="s">
        <v>569</v>
      </c>
    </row>
    <row r="165" spans="3:7" x14ac:dyDescent="0.2">
      <c r="C165" s="76" cm="1">
        <f t="array" ref="C165:C175">L.LINSPACE(0,10,11)</f>
        <v>0</v>
      </c>
      <c r="D165" s="76" cm="1">
        <f t="array" ref="D165:D175">_xlfn.ANCHORARRAY(C165)^2</f>
        <v>0</v>
      </c>
      <c r="E165" s="78" cm="1">
        <f t="array" ref="E165:E175">L.TRAPZ(_xlfn.ANCHORARRAY(D165),_xlfn.ANCHORARRAY(C165),,TRUE)</f>
        <v>0</v>
      </c>
      <c r="G165" s="7" cm="1">
        <f t="array" ref="G165">L.POLYINT({1,0,0},,0,C165)</f>
        <v>0</v>
      </c>
    </row>
    <row r="166" spans="3:7" x14ac:dyDescent="0.2">
      <c r="C166" s="76">
        <v>1</v>
      </c>
      <c r="D166" s="76">
        <v>1</v>
      </c>
      <c r="E166" s="78">
        <v>0.5</v>
      </c>
      <c r="G166" s="7" cm="1">
        <f t="array" ref="G166">L.POLYINT({1,0,0},,0,C166)</f>
        <v>0.33333333333333331</v>
      </c>
    </row>
    <row r="167" spans="3:7" x14ac:dyDescent="0.2">
      <c r="C167" s="76">
        <v>2</v>
      </c>
      <c r="D167" s="76">
        <v>4</v>
      </c>
      <c r="E167" s="78">
        <v>3</v>
      </c>
      <c r="G167" s="7" cm="1">
        <f t="array" ref="G167">L.POLYINT({1,0,0},,0,C167)</f>
        <v>2.6666666666666665</v>
      </c>
    </row>
    <row r="168" spans="3:7" x14ac:dyDescent="0.2">
      <c r="C168" s="76">
        <v>3</v>
      </c>
      <c r="D168" s="76">
        <v>9</v>
      </c>
      <c r="E168" s="78">
        <v>9.5</v>
      </c>
      <c r="G168" s="7" cm="1">
        <f t="array" ref="G168">L.POLYINT({1,0,0},,0,C168)</f>
        <v>9</v>
      </c>
    </row>
    <row r="169" spans="3:7" x14ac:dyDescent="0.2">
      <c r="C169" s="76">
        <v>4</v>
      </c>
      <c r="D169" s="76">
        <v>16</v>
      </c>
      <c r="E169" s="78">
        <v>22</v>
      </c>
      <c r="G169" s="7" cm="1">
        <f t="array" ref="G169">L.POLYINT({1,0,0},,0,C169)</f>
        <v>21.333333333333332</v>
      </c>
    </row>
    <row r="170" spans="3:7" x14ac:dyDescent="0.2">
      <c r="C170" s="76">
        <v>5</v>
      </c>
      <c r="D170" s="76">
        <v>25</v>
      </c>
      <c r="E170" s="78">
        <v>42.5</v>
      </c>
      <c r="G170" s="7" cm="1">
        <f t="array" ref="G170">L.POLYINT({1,0,0},,0,C170)</f>
        <v>41.666666666666664</v>
      </c>
    </row>
    <row r="171" spans="3:7" x14ac:dyDescent="0.2">
      <c r="C171" s="76">
        <v>6</v>
      </c>
      <c r="D171" s="76">
        <v>36</v>
      </c>
      <c r="E171" s="78">
        <v>73</v>
      </c>
      <c r="G171" s="7" cm="1">
        <f t="array" ref="G171">L.POLYINT({1,0,0},,0,C171)</f>
        <v>72</v>
      </c>
    </row>
    <row r="172" spans="3:7" x14ac:dyDescent="0.2">
      <c r="C172" s="76">
        <v>7</v>
      </c>
      <c r="D172" s="76">
        <v>49</v>
      </c>
      <c r="E172" s="78">
        <v>115.5</v>
      </c>
      <c r="G172" s="7" cm="1">
        <f t="array" ref="G172">L.POLYINT({1,0,0},,0,C172)</f>
        <v>114.33333333333333</v>
      </c>
    </row>
    <row r="173" spans="3:7" x14ac:dyDescent="0.2">
      <c r="C173" s="76">
        <v>8</v>
      </c>
      <c r="D173" s="76">
        <v>64</v>
      </c>
      <c r="E173" s="78">
        <v>172</v>
      </c>
      <c r="G173" s="7" cm="1">
        <f t="array" ref="G173">L.POLYINT({1,0,0},,0,C173)</f>
        <v>170.66666666666666</v>
      </c>
    </row>
    <row r="174" spans="3:7" x14ac:dyDescent="0.2">
      <c r="C174" s="76">
        <v>9</v>
      </c>
      <c r="D174" s="76">
        <v>81</v>
      </c>
      <c r="E174" s="78">
        <v>244.5</v>
      </c>
      <c r="G174" s="7" cm="1">
        <f t="array" ref="G174">L.POLYINT({1,0,0},,0,C174)</f>
        <v>243</v>
      </c>
    </row>
    <row r="175" spans="3:7" x14ac:dyDescent="0.2">
      <c r="C175" s="76">
        <v>10</v>
      </c>
      <c r="D175" s="76">
        <v>100</v>
      </c>
      <c r="E175" s="78">
        <v>335</v>
      </c>
      <c r="G175" s="7" cm="1">
        <f t="array" ref="G175">L.POLYINT({1,0,0},,0,C175)</f>
        <v>333.33333333333331</v>
      </c>
    </row>
    <row r="178" spans="1:11" customFormat="1" ht="23.25" x14ac:dyDescent="0.2">
      <c r="A178" s="7" t="s">
        <v>6</v>
      </c>
      <c r="B178" s="12" t="s">
        <v>807</v>
      </c>
      <c r="C178" s="8"/>
      <c r="D178" s="8"/>
      <c r="E178" s="8"/>
      <c r="F178" s="8"/>
      <c r="G178" s="8"/>
      <c r="H178" s="8"/>
      <c r="I178" s="8"/>
      <c r="J178" s="8"/>
      <c r="K178" s="7"/>
    </row>
    <row r="179" spans="1:11" customFormat="1" ht="18" customHeight="1" x14ac:dyDescent="0.2">
      <c r="A179" s="7"/>
      <c r="B179" s="38" t="s">
        <v>632</v>
      </c>
      <c r="C179" s="7"/>
      <c r="D179" s="7"/>
      <c r="E179" s="7"/>
      <c r="F179" s="7"/>
      <c r="G179" s="7"/>
      <c r="H179" s="7"/>
      <c r="I179" s="7"/>
      <c r="J179" s="7"/>
      <c r="K179" s="7"/>
    </row>
    <row r="180" spans="1:11" x14ac:dyDescent="0.2">
      <c r="B180" s="41" t="s">
        <v>633</v>
      </c>
    </row>
    <row r="183" spans="1:11" x14ac:dyDescent="0.25">
      <c r="B183" s="37" t="s">
        <v>634</v>
      </c>
    </row>
    <row r="184" spans="1:11" x14ac:dyDescent="0.2">
      <c r="B184" s="57" t="s">
        <v>635</v>
      </c>
      <c r="F184" s="52" t="s">
        <v>636</v>
      </c>
      <c r="G184" s="214">
        <f>(4*B188+SIN(B188)/4-1/4*B188*COS(B188)) - (4*B186+SIN(B186)/4-1/4*B186*COS(B186))</f>
        <v>70.685834705770347</v>
      </c>
      <c r="H184" s="214"/>
    </row>
    <row r="185" spans="1:11" x14ac:dyDescent="0.2">
      <c r="B185" s="77" t="s">
        <v>443</v>
      </c>
      <c r="C185" s="77" t="s">
        <v>328</v>
      </c>
      <c r="D185" s="77" t="s">
        <v>351</v>
      </c>
      <c r="F185" s="52" t="s">
        <v>637</v>
      </c>
      <c r="G185" s="214" cm="1">
        <f t="array" ref="G185">L.SIMPSON(_xlfn.ANCHORARRAY(D186),_xlfn.ANCHORARRAY(C186))</f>
        <v>70.681554395408213</v>
      </c>
      <c r="H185" s="214"/>
    </row>
    <row r="186" spans="1:11" x14ac:dyDescent="0.2">
      <c r="B186" s="76">
        <v>0</v>
      </c>
      <c r="C186" s="76" cm="1">
        <f t="array" ref="C186:C216">L.LINSPACE(B186,B188,31)</f>
        <v>0</v>
      </c>
      <c r="D186" s="76" cm="1">
        <f t="array" ref="D186:D216">_xlfn.ANCHORARRAY(C186)/4*SIN(_xlfn.ANCHORARRAY(C186))+4</f>
        <v>4</v>
      </c>
      <c r="F186" s="52" t="s">
        <v>638</v>
      </c>
      <c r="G186" s="214">
        <f>G185-G184</f>
        <v>-4.2803103621338323E-3</v>
      </c>
      <c r="H186" s="214"/>
    </row>
    <row r="187" spans="1:11" x14ac:dyDescent="0.2">
      <c r="B187" s="77" t="s">
        <v>474</v>
      </c>
      <c r="C187" s="76">
        <v>0.62831853071795862</v>
      </c>
      <c r="D187" s="76">
        <v>4.0923290915245225</v>
      </c>
    </row>
    <row r="188" spans="1:11" x14ac:dyDescent="0.2">
      <c r="B188" s="76">
        <f>B186+6*PI()</f>
        <v>18.849555921538759</v>
      </c>
      <c r="C188" s="76">
        <v>1.2566370614359172</v>
      </c>
      <c r="D188" s="76">
        <v>4.2987832164741553</v>
      </c>
    </row>
    <row r="189" spans="1:11" x14ac:dyDescent="0.2">
      <c r="C189" s="76">
        <v>1.8849555921538759</v>
      </c>
      <c r="D189" s="76">
        <v>4.4481748247112334</v>
      </c>
    </row>
    <row r="190" spans="1:11" x14ac:dyDescent="0.2">
      <c r="C190" s="76">
        <v>2.5132741228718345</v>
      </c>
      <c r="D190" s="76">
        <v>4.3693163660980918</v>
      </c>
    </row>
    <row r="191" spans="1:11" x14ac:dyDescent="0.2">
      <c r="C191" s="76">
        <v>3.1415926535897931</v>
      </c>
      <c r="D191" s="76">
        <v>4</v>
      </c>
    </row>
    <row r="192" spans="1:11" x14ac:dyDescent="0.2">
      <c r="C192" s="76">
        <v>3.7699111843077517</v>
      </c>
      <c r="D192" s="76">
        <v>3.4460254508528632</v>
      </c>
    </row>
    <row r="193" spans="3:4" x14ac:dyDescent="0.2">
      <c r="C193" s="76">
        <v>4.3982297150257104</v>
      </c>
      <c r="D193" s="76">
        <v>2.9542587423404556</v>
      </c>
    </row>
    <row r="194" spans="3:4" x14ac:dyDescent="0.2">
      <c r="C194" s="76">
        <v>5.026548245743669</v>
      </c>
      <c r="D194" s="76">
        <v>2.8048671341033775</v>
      </c>
    </row>
    <row r="195" spans="3:4" x14ac:dyDescent="0.2">
      <c r="C195" s="76">
        <v>5.6548667764616276</v>
      </c>
      <c r="D195" s="76">
        <v>3.1690381762792943</v>
      </c>
    </row>
    <row r="196" spans="3:4" x14ac:dyDescent="0.2">
      <c r="C196" s="76">
        <v>6.2831853071795862</v>
      </c>
      <c r="D196" s="76">
        <v>3.9999999999999996</v>
      </c>
    </row>
    <row r="197" spans="3:4" x14ac:dyDescent="0.2">
      <c r="C197" s="76">
        <v>6.9115038378975449</v>
      </c>
      <c r="D197" s="76">
        <v>5.0156200067697512</v>
      </c>
    </row>
    <row r="198" spans="3:4" x14ac:dyDescent="0.2">
      <c r="C198" s="76">
        <v>7.5398223686155035</v>
      </c>
      <c r="D198" s="76">
        <v>5.7926992988449335</v>
      </c>
    </row>
    <row r="199" spans="3:4" x14ac:dyDescent="0.2">
      <c r="C199" s="76">
        <v>8.1681408993334621</v>
      </c>
      <c r="D199" s="76">
        <v>5.9420909070820116</v>
      </c>
    </row>
    <row r="200" spans="3:4" x14ac:dyDescent="0.2">
      <c r="C200" s="76">
        <v>8.7964594300514207</v>
      </c>
      <c r="D200" s="76">
        <v>5.2926072813433205</v>
      </c>
    </row>
    <row r="201" spans="3:4" x14ac:dyDescent="0.2">
      <c r="C201" s="76">
        <v>9.4247779607693793</v>
      </c>
      <c r="D201" s="76">
        <v>4.0000000000000009</v>
      </c>
    </row>
    <row r="202" spans="3:4" x14ac:dyDescent="0.2">
      <c r="C202" s="76">
        <v>10.053096491487338</v>
      </c>
      <c r="D202" s="76">
        <v>2.5227345356076354</v>
      </c>
    </row>
    <row r="203" spans="3:4" x14ac:dyDescent="0.2">
      <c r="C203" s="76">
        <v>10.681415022205297</v>
      </c>
      <c r="D203" s="76">
        <v>1.4603426599696778</v>
      </c>
    </row>
    <row r="204" spans="3:4" x14ac:dyDescent="0.2">
      <c r="C204" s="76">
        <v>11.309733552923255</v>
      </c>
      <c r="D204" s="76">
        <v>1.3109510517325993</v>
      </c>
    </row>
    <row r="205" spans="3:4" x14ac:dyDescent="0.2">
      <c r="C205" s="76">
        <v>11.938052083641214</v>
      </c>
      <c r="D205" s="76">
        <v>2.2457472610340652</v>
      </c>
    </row>
    <row r="206" spans="3:4" x14ac:dyDescent="0.2">
      <c r="C206" s="76">
        <v>12.566370614359172</v>
      </c>
      <c r="D206" s="76">
        <v>3.9999999999999987</v>
      </c>
    </row>
    <row r="207" spans="3:4" x14ac:dyDescent="0.2">
      <c r="C207" s="76">
        <v>13.194689145077131</v>
      </c>
      <c r="D207" s="76">
        <v>5.9389109220149781</v>
      </c>
    </row>
    <row r="208" spans="3:4" x14ac:dyDescent="0.2">
      <c r="C208" s="76">
        <v>13.82300767579509</v>
      </c>
      <c r="D208" s="76">
        <v>7.2866153812157108</v>
      </c>
    </row>
    <row r="209" spans="1:11" x14ac:dyDescent="0.2">
      <c r="C209" s="76">
        <v>14.451326206513048</v>
      </c>
      <c r="D209" s="76">
        <v>7.4360069894527898</v>
      </c>
    </row>
    <row r="210" spans="1:11" x14ac:dyDescent="0.2">
      <c r="C210" s="76">
        <v>15.079644737231007</v>
      </c>
      <c r="D210" s="76">
        <v>6.2158981965885491</v>
      </c>
    </row>
    <row r="211" spans="1:11" x14ac:dyDescent="0.2">
      <c r="C211" s="76">
        <v>15.707963267948966</v>
      </c>
      <c r="D211" s="76">
        <v>4.0000000000000027</v>
      </c>
    </row>
    <row r="212" spans="1:11" x14ac:dyDescent="0.2">
      <c r="C212" s="76">
        <v>16.336281798666924</v>
      </c>
      <c r="D212" s="76">
        <v>1.5994436203624085</v>
      </c>
    </row>
    <row r="213" spans="1:11" x14ac:dyDescent="0.2">
      <c r="C213" s="76">
        <v>16.964600329384883</v>
      </c>
      <c r="D213" s="76">
        <v>-3.3573422401099506E-2</v>
      </c>
    </row>
    <row r="214" spans="1:11" x14ac:dyDescent="0.2">
      <c r="C214" s="76">
        <v>17.592918860102841</v>
      </c>
      <c r="D214" s="76">
        <v>-0.18296503063817937</v>
      </c>
    </row>
    <row r="215" spans="1:11" x14ac:dyDescent="0.2">
      <c r="C215" s="76">
        <v>18.2212373908208</v>
      </c>
      <c r="D215" s="76">
        <v>1.3224563457888352</v>
      </c>
    </row>
    <row r="216" spans="1:11" x14ac:dyDescent="0.2">
      <c r="C216" s="76">
        <v>18.849555921538759</v>
      </c>
      <c r="D216" s="76">
        <v>3.9999999999999964</v>
      </c>
    </row>
    <row r="224" spans="1:11" customFormat="1" ht="18" customHeight="1" x14ac:dyDescent="0.2">
      <c r="A224" s="28" t="s">
        <v>6</v>
      </c>
      <c r="B224" s="13"/>
      <c r="C224" s="14"/>
      <c r="D224" s="6"/>
      <c r="E224" s="6"/>
      <c r="F224" s="6"/>
      <c r="G224" s="6"/>
      <c r="H224" s="6"/>
      <c r="I224" s="6"/>
      <c r="J224" s="6"/>
      <c r="K224" s="7"/>
    </row>
  </sheetData>
  <mergeCells count="5">
    <mergeCell ref="I1:J1"/>
    <mergeCell ref="B5:J7"/>
    <mergeCell ref="G184:H184"/>
    <mergeCell ref="G185:H185"/>
    <mergeCell ref="G186:H186"/>
  </mergeCells>
  <hyperlinks>
    <hyperlink ref="B2" r:id="rId1" xr:uid="{44187FEE-2659-4083-BA61-A85EC2C5DADD}"/>
    <hyperlink ref="B11" r:id="rId2" xr:uid="{ADB5BE00-A444-4629-A8E6-002F52E358EC}"/>
    <hyperlink ref="B27" r:id="rId3" xr:uid="{10C555EC-C957-4656-9D26-137C5441A0F2}"/>
    <hyperlink ref="B67" r:id="rId4" xr:uid="{F5B626AA-06ED-4425-BD92-E6F9A17417A6}"/>
    <hyperlink ref="B145" r:id="rId5" xr:uid="{B6CC7954-9ABF-4351-9D3F-4ECC96CA08BE}"/>
    <hyperlink ref="B179" r:id="rId6" xr:uid="{C350BDCD-8CD0-467E-99C0-EEDCAFEACA70}"/>
  </hyperlinks>
  <pageMargins left="0.7" right="0.7" top="0.75" bottom="0.75" header="0.3" footer="0.3"/>
  <pageSetup orientation="portrait" horizontalDpi="203" verticalDpi="203"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A2DD-D6F2-4591-829A-4587F3B1B910}">
  <dimension ref="A1:M136"/>
  <sheetViews>
    <sheetView showGridLines="0" workbookViewId="0"/>
  </sheetViews>
  <sheetFormatPr defaultRowHeight="15" x14ac:dyDescent="0.2"/>
  <cols>
    <col min="1" max="1" width="4.5" style="48" customWidth="1"/>
    <col min="2" max="11" width="11.125" style="7" customWidth="1"/>
    <col min="12" max="16384" width="9" style="7"/>
  </cols>
  <sheetData>
    <row r="1" spans="1:10" ht="36.950000000000003" customHeight="1" x14ac:dyDescent="0.2">
      <c r="A1" s="49"/>
      <c r="B1" s="2" t="s">
        <v>121</v>
      </c>
      <c r="C1" s="2"/>
      <c r="D1" s="2"/>
      <c r="E1" s="2"/>
      <c r="F1" s="2"/>
      <c r="G1" s="2"/>
      <c r="H1" s="2"/>
      <c r="I1" s="209" t="e" vm="1">
        <v>#VALUE!</v>
      </c>
      <c r="J1" s="209"/>
    </row>
    <row r="2" spans="1:10" ht="18" customHeight="1" x14ac:dyDescent="0.2">
      <c r="B2" s="46" t="s">
        <v>55</v>
      </c>
      <c r="J2" s="47" t="s">
        <v>909</v>
      </c>
    </row>
    <row r="3" spans="1:10" ht="18" customHeight="1" x14ac:dyDescent="0.2"/>
    <row r="4" spans="1:10" ht="18" customHeight="1" x14ac:dyDescent="0.2">
      <c r="B4" s="21" t="s">
        <v>85</v>
      </c>
    </row>
    <row r="5" spans="1:10" ht="18" customHeight="1" x14ac:dyDescent="0.2">
      <c r="B5" s="212" t="s">
        <v>86</v>
      </c>
      <c r="C5" s="212"/>
      <c r="D5" s="212"/>
      <c r="E5" s="212"/>
      <c r="F5" s="212"/>
      <c r="G5" s="212"/>
      <c r="H5" s="212"/>
      <c r="I5" s="212"/>
      <c r="J5" s="212"/>
    </row>
    <row r="6" spans="1:10" ht="18" customHeight="1" x14ac:dyDescent="0.2">
      <c r="B6" s="212"/>
      <c r="C6" s="212"/>
      <c r="D6" s="212"/>
      <c r="E6" s="212"/>
      <c r="F6" s="212"/>
      <c r="G6" s="212"/>
      <c r="H6" s="212"/>
      <c r="I6" s="212"/>
      <c r="J6" s="212"/>
    </row>
    <row r="7" spans="1:10" ht="18" customHeight="1" x14ac:dyDescent="0.2">
      <c r="B7" s="212"/>
      <c r="C7" s="212"/>
      <c r="D7" s="212"/>
      <c r="E7" s="212"/>
      <c r="F7" s="212"/>
      <c r="G7" s="212"/>
      <c r="H7" s="212"/>
      <c r="I7" s="212"/>
      <c r="J7" s="212"/>
    </row>
    <row r="9" spans="1:10" x14ac:dyDescent="0.2">
      <c r="B9" s="21" t="s">
        <v>334</v>
      </c>
    </row>
    <row r="10" spans="1:10" x14ac:dyDescent="0.2">
      <c r="B10" s="46" t="s">
        <v>335</v>
      </c>
    </row>
    <row r="12" spans="1:10" x14ac:dyDescent="0.2">
      <c r="B12" s="21" t="s">
        <v>336</v>
      </c>
      <c r="C12"/>
      <c r="D12"/>
    </row>
    <row r="13" spans="1:10" x14ac:dyDescent="0.2">
      <c r="B13" s="23" t="str" cm="1">
        <f t="array" aca="1" ref="B13" ca="1">IFERROR(STRUCT_CREATE(),"Ctrl+c")</f>
        <v>Ctrl+c</v>
      </c>
      <c r="C13" s="7" t="s">
        <v>337</v>
      </c>
    </row>
    <row r="14" spans="1:10" x14ac:dyDescent="0.2">
      <c r="B14" s="23" t="str" cm="1">
        <f t="array" aca="1" ref="B14" ca="1">IFERROR(STRUCT_GET(),"Ctrl+c")</f>
        <v>Ctrl+c</v>
      </c>
      <c r="C14" s="7" t="s">
        <v>338</v>
      </c>
    </row>
    <row r="15" spans="1:10" x14ac:dyDescent="0.2">
      <c r="B15" s="23" t="str" cm="1">
        <f t="array" aca="1" ref="B15" ca="1">IFERROR(STRUCT_APPEND(),"Ctrl+c")</f>
        <v>Ctrl+c</v>
      </c>
      <c r="C15" s="7" t="s">
        <v>339</v>
      </c>
    </row>
    <row r="16" spans="1:10" x14ac:dyDescent="0.2">
      <c r="B16" s="23" t="str" cm="1">
        <f t="array" aca="1" ref="B16" ca="1">IFERROR(STRUCT_REMOVE(),"Ctrl+c")</f>
        <v>Ctrl+c</v>
      </c>
      <c r="C16" s="7" t="s">
        <v>340</v>
      </c>
    </row>
    <row r="18" spans="2:11" x14ac:dyDescent="0.2">
      <c r="B18" s="21" t="s">
        <v>341</v>
      </c>
    </row>
    <row r="19" spans="2:11" x14ac:dyDescent="0.2">
      <c r="H19" s="57" t="s">
        <v>349</v>
      </c>
    </row>
    <row r="20" spans="2:11" x14ac:dyDescent="0.2">
      <c r="B20"/>
      <c r="C20" s="102" t="s">
        <v>342</v>
      </c>
      <c r="D20" s="103">
        <v>1</v>
      </c>
      <c r="E20" s="103">
        <v>1</v>
      </c>
      <c r="F20" s="104"/>
      <c r="H20" s="94" t="str" cm="1">
        <f t="array" ref="H20:K29">_xlfn.LET(
    _xlpm.chars,{"A","B";"C","D";"E","F"},
    _xlpm.numbers,{100,1,10;200,2,20;300,3,30},
    L.STRUCT_CREATE("Title","Structure Example","Chars",_xlpm.chars,"Numbers",_xlpm.numbers)
)</f>
        <v>Title</v>
      </c>
      <c r="I20" s="7">
        <v>1</v>
      </c>
      <c r="J20" s="7">
        <v>1</v>
      </c>
      <c r="K20" s="7" t="str">
        <v/>
      </c>
    </row>
    <row r="21" spans="2:11" x14ac:dyDescent="0.2">
      <c r="B21"/>
      <c r="C21" s="104"/>
      <c r="D21" s="105" t="s">
        <v>343</v>
      </c>
      <c r="E21" s="104"/>
      <c r="F21" s="104"/>
      <c r="H21" s="7" t="str">
        <v/>
      </c>
      <c r="I21" s="7" t="str">
        <v>Structure Example</v>
      </c>
      <c r="J21" s="7" t="str">
        <v/>
      </c>
      <c r="K21" s="7" t="str">
        <v/>
      </c>
    </row>
    <row r="22" spans="2:11" x14ac:dyDescent="0.2">
      <c r="B22"/>
      <c r="C22" s="102" t="s">
        <v>344</v>
      </c>
      <c r="D22" s="103">
        <v>3</v>
      </c>
      <c r="E22" s="103">
        <v>2</v>
      </c>
      <c r="F22" s="104"/>
      <c r="H22" s="7" t="str">
        <v>Chars</v>
      </c>
      <c r="I22" s="7">
        <v>3</v>
      </c>
      <c r="J22" s="7">
        <v>2</v>
      </c>
      <c r="K22" s="7" t="str">
        <v/>
      </c>
    </row>
    <row r="23" spans="2:11" x14ac:dyDescent="0.2">
      <c r="B23"/>
      <c r="C23" s="104"/>
      <c r="D23" s="106" t="s">
        <v>89</v>
      </c>
      <c r="E23" s="106" t="s">
        <v>90</v>
      </c>
      <c r="F23" s="104"/>
      <c r="H23" s="7" t="str">
        <v/>
      </c>
      <c r="I23" s="7" t="str">
        <v>A</v>
      </c>
      <c r="J23" s="7" t="str">
        <v>B</v>
      </c>
      <c r="K23" s="7" t="str">
        <v/>
      </c>
    </row>
    <row r="24" spans="2:11" x14ac:dyDescent="0.2">
      <c r="B24"/>
      <c r="C24" s="104"/>
      <c r="D24" s="106" t="s">
        <v>91</v>
      </c>
      <c r="E24" s="106" t="s">
        <v>345</v>
      </c>
      <c r="F24" s="104"/>
      <c r="H24" s="7" t="str">
        <v/>
      </c>
      <c r="I24" s="7" t="str">
        <v>C</v>
      </c>
      <c r="J24" s="7" t="str">
        <v>D</v>
      </c>
      <c r="K24" s="7" t="str">
        <v/>
      </c>
    </row>
    <row r="25" spans="2:11" x14ac:dyDescent="0.2">
      <c r="B25"/>
      <c r="C25" s="104"/>
      <c r="D25" s="106" t="s">
        <v>346</v>
      </c>
      <c r="E25" s="106" t="s">
        <v>347</v>
      </c>
      <c r="F25" s="104"/>
      <c r="H25" s="7" t="str">
        <v/>
      </c>
      <c r="I25" s="7" t="str">
        <v>E</v>
      </c>
      <c r="J25" s="7" t="str">
        <v>F</v>
      </c>
      <c r="K25" s="7" t="str">
        <v/>
      </c>
    </row>
    <row r="26" spans="2:11" x14ac:dyDescent="0.2">
      <c r="B26"/>
      <c r="C26" s="102" t="s">
        <v>348</v>
      </c>
      <c r="D26" s="103">
        <v>3</v>
      </c>
      <c r="E26" s="103">
        <v>3</v>
      </c>
      <c r="F26" s="104"/>
      <c r="H26" s="7" t="str">
        <v>Numbers</v>
      </c>
      <c r="I26" s="7">
        <v>3</v>
      </c>
      <c r="J26" s="7">
        <v>3</v>
      </c>
      <c r="K26" s="7" t="str">
        <v/>
      </c>
    </row>
    <row r="27" spans="2:11" x14ac:dyDescent="0.2">
      <c r="B27"/>
      <c r="C27" s="104"/>
      <c r="D27" s="106">
        <v>100</v>
      </c>
      <c r="E27" s="106">
        <v>1</v>
      </c>
      <c r="F27" s="106">
        <v>10</v>
      </c>
      <c r="H27" s="7" t="str">
        <v/>
      </c>
      <c r="I27" s="7">
        <v>100</v>
      </c>
      <c r="J27" s="7">
        <v>1</v>
      </c>
      <c r="K27" s="7">
        <v>10</v>
      </c>
    </row>
    <row r="28" spans="2:11" x14ac:dyDescent="0.2">
      <c r="B28"/>
      <c r="C28" s="104"/>
      <c r="D28" s="106">
        <v>200</v>
      </c>
      <c r="E28" s="106">
        <v>2</v>
      </c>
      <c r="F28" s="106">
        <v>20</v>
      </c>
      <c r="H28" s="7" t="str">
        <v/>
      </c>
      <c r="I28" s="7">
        <v>200</v>
      </c>
      <c r="J28" s="7">
        <v>2</v>
      </c>
      <c r="K28" s="7">
        <v>20</v>
      </c>
    </row>
    <row r="29" spans="2:11" x14ac:dyDescent="0.2">
      <c r="B29"/>
      <c r="C29" s="104"/>
      <c r="D29" s="106">
        <v>300</v>
      </c>
      <c r="E29" s="106">
        <v>3</v>
      </c>
      <c r="F29" s="106">
        <v>30</v>
      </c>
      <c r="H29" s="7" t="str">
        <v/>
      </c>
      <c r="I29" s="7">
        <v>300</v>
      </c>
      <c r="J29" s="7">
        <v>3</v>
      </c>
      <c r="K29" s="7">
        <v>30</v>
      </c>
    </row>
    <row r="31" spans="2:11" x14ac:dyDescent="0.2">
      <c r="C31" s="57" t="s">
        <v>355</v>
      </c>
    </row>
    <row r="32" spans="2:11" x14ac:dyDescent="0.2">
      <c r="D32" s="39" t="s">
        <v>356</v>
      </c>
      <c r="E32" s="42" t="s">
        <v>344</v>
      </c>
    </row>
    <row r="34" spans="3:7" x14ac:dyDescent="0.2">
      <c r="D34" s="40" t="s">
        <v>97</v>
      </c>
    </row>
    <row r="35" spans="3:7" x14ac:dyDescent="0.2">
      <c r="D35" s="94" t="str" cm="1">
        <f t="array" ref="D35:E37">L.STRUCT_GET(E32,C20:F29)</f>
        <v>A</v>
      </c>
      <c r="E35" s="7" t="str">
        <v>B</v>
      </c>
    </row>
    <row r="36" spans="3:7" x14ac:dyDescent="0.2">
      <c r="D36" s="7" t="str">
        <v>C</v>
      </c>
      <c r="E36" s="7" t="str">
        <v>D</v>
      </c>
    </row>
    <row r="37" spans="3:7" x14ac:dyDescent="0.2">
      <c r="D37" s="7" t="str">
        <v>E</v>
      </c>
      <c r="E37" s="7" t="str">
        <v>F</v>
      </c>
    </row>
    <row r="39" spans="3:7" x14ac:dyDescent="0.2">
      <c r="C39" s="57" t="s">
        <v>357</v>
      </c>
    </row>
    <row r="40" spans="3:7" x14ac:dyDescent="0.2">
      <c r="D40" s="39" t="s">
        <v>356</v>
      </c>
      <c r="E40" s="42" t="s">
        <v>344</v>
      </c>
    </row>
    <row r="41" spans="3:7" x14ac:dyDescent="0.2">
      <c r="D41" s="40" t="s">
        <v>97</v>
      </c>
    </row>
    <row r="42" spans="3:7" x14ac:dyDescent="0.2">
      <c r="D42" s="94" t="str" cm="1">
        <f t="array" ref="D42:G47">L.STRUCT_REMOVE(E40,C20:F29)</f>
        <v>Title</v>
      </c>
      <c r="E42" s="7">
        <v>1</v>
      </c>
      <c r="F42" s="7">
        <v>1</v>
      </c>
      <c r="G42" s="7">
        <v>0</v>
      </c>
    </row>
    <row r="43" spans="3:7" x14ac:dyDescent="0.2">
      <c r="D43" s="7">
        <v>0</v>
      </c>
      <c r="E43" s="7" t="str">
        <v>Structure Example</v>
      </c>
      <c r="F43" s="7">
        <v>0</v>
      </c>
      <c r="G43" s="7">
        <v>0</v>
      </c>
    </row>
    <row r="44" spans="3:7" x14ac:dyDescent="0.2">
      <c r="D44" s="7" t="str">
        <v>Numbers</v>
      </c>
      <c r="E44" s="7">
        <v>3</v>
      </c>
      <c r="F44" s="7">
        <v>3</v>
      </c>
      <c r="G44" s="7">
        <v>0</v>
      </c>
    </row>
    <row r="45" spans="3:7" x14ac:dyDescent="0.2">
      <c r="D45" s="7">
        <v>0</v>
      </c>
      <c r="E45" s="7">
        <v>100</v>
      </c>
      <c r="F45" s="7">
        <v>1</v>
      </c>
      <c r="G45" s="7">
        <v>10</v>
      </c>
    </row>
    <row r="46" spans="3:7" x14ac:dyDescent="0.2">
      <c r="D46" s="7">
        <v>0</v>
      </c>
      <c r="E46" s="7">
        <v>200</v>
      </c>
      <c r="F46" s="7">
        <v>2</v>
      </c>
      <c r="G46" s="7">
        <v>20</v>
      </c>
    </row>
    <row r="47" spans="3:7" x14ac:dyDescent="0.2">
      <c r="D47" s="7">
        <v>0</v>
      </c>
      <c r="E47" s="7">
        <v>300</v>
      </c>
      <c r="F47" s="7">
        <v>3</v>
      </c>
      <c r="G47" s="7">
        <v>30</v>
      </c>
    </row>
    <row r="49" spans="2:13" x14ac:dyDescent="0.2">
      <c r="B49" s="21" t="s">
        <v>350</v>
      </c>
    </row>
    <row r="51" spans="2:13" ht="17.25" x14ac:dyDescent="0.2">
      <c r="C51" s="108" t="s">
        <v>353</v>
      </c>
      <c r="D51" s="107"/>
      <c r="E51" s="107"/>
      <c r="F51" s="107"/>
      <c r="G51" s="107"/>
      <c r="H51" s="107"/>
      <c r="I51" s="108" t="s">
        <v>354</v>
      </c>
      <c r="J51" s="107"/>
      <c r="L51"/>
      <c r="M51"/>
    </row>
    <row r="52" spans="2:13" x14ac:dyDescent="0.2">
      <c r="C52" s="103">
        <v>0</v>
      </c>
      <c r="D52" s="103">
        <v>12</v>
      </c>
      <c r="E52" s="103">
        <v>4</v>
      </c>
      <c r="F52" s="104"/>
      <c r="G52" s="104"/>
      <c r="I52" s="94" cm="1">
        <f t="array" ref="I52:M90">_xlfn.LET(_xlpm.xvec, L.SE(1, 3), _xlpm.yvec, L.SE(1, 3), _xlpm.tvec, L.SE(0, 2), _xlpm.xgrid, L.MESHGRID(_xlpm.xvec, _xlpm.yvec, "X"), _xlpm.ygrid, L.MESHGRID(_xlpm.xvec, _xlpm.yvec, "Y"), _xlpm.construct, _xlfn.REDUCE(_xlfn.HSTACK("Blank", 0, 0), _xlpm.tvec, _xlfn.LAMBDA(_xlpm.acc,_xlpm.t, _xlfn.LET(_xlpm.zgrid, _xlpm.xgrid ^ 2 + _xlpm.ygrid ^ 2 - _xlpm.t ^ 2, _xlpm.internal, L.STRUCT_CREATE("X", _xlpm.xgrid, "Y", _xlpm.ygrid, "Z", _xlpm.zgrid), IF(_xlpm.t = INDEX(_xlpm.tvec, 1, 1), L.STRUCT_CREATE(_xlpm.t, _xlpm.internal), L.STRUCT_APPEND(_xlpm.acc, _xlpm.t, _xlpm.internal))))), _xlpm.construct)</f>
        <v>0</v>
      </c>
      <c r="J52" s="7">
        <v>12</v>
      </c>
      <c r="K52" s="7">
        <v>4</v>
      </c>
      <c r="L52" t="str">
        <v/>
      </c>
      <c r="M52" t="str">
        <v/>
      </c>
    </row>
    <row r="53" spans="2:13" x14ac:dyDescent="0.2">
      <c r="C53" s="104"/>
      <c r="D53" s="103" t="s">
        <v>328</v>
      </c>
      <c r="E53" s="103">
        <v>3</v>
      </c>
      <c r="F53" s="103">
        <v>3</v>
      </c>
      <c r="G53" s="104"/>
      <c r="I53" s="7" t="str">
        <v/>
      </c>
      <c r="J53" s="7" t="str">
        <v>X</v>
      </c>
      <c r="K53" s="7">
        <v>3</v>
      </c>
      <c r="L53">
        <v>3</v>
      </c>
      <c r="M53" t="str">
        <v/>
      </c>
    </row>
    <row r="54" spans="2:13" x14ac:dyDescent="0.2">
      <c r="C54" s="104"/>
      <c r="D54" s="104"/>
      <c r="E54" s="106" cm="1">
        <f t="array" ref="E54:G56">L.MESHGRID(L.SE(1,3),L.SE(1,3),"X")</f>
        <v>1</v>
      </c>
      <c r="F54" s="106">
        <v>2</v>
      </c>
      <c r="G54" s="106">
        <v>3</v>
      </c>
      <c r="I54" s="7" t="str">
        <v/>
      </c>
      <c r="J54" s="7" t="str">
        <v/>
      </c>
      <c r="K54" s="7">
        <v>1</v>
      </c>
      <c r="L54">
        <v>2</v>
      </c>
      <c r="M54">
        <v>3</v>
      </c>
    </row>
    <row r="55" spans="2:13" x14ac:dyDescent="0.2">
      <c r="C55" s="104"/>
      <c r="D55" s="104"/>
      <c r="E55" s="106">
        <v>1</v>
      </c>
      <c r="F55" s="106">
        <v>2</v>
      </c>
      <c r="G55" s="106">
        <v>3</v>
      </c>
      <c r="I55" s="7" t="str">
        <v/>
      </c>
      <c r="J55" s="7" t="str">
        <v/>
      </c>
      <c r="K55" s="7">
        <v>1</v>
      </c>
      <c r="L55">
        <v>2</v>
      </c>
      <c r="M55">
        <v>3</v>
      </c>
    </row>
    <row r="56" spans="2:13" x14ac:dyDescent="0.2">
      <c r="C56" s="104"/>
      <c r="D56" s="104"/>
      <c r="E56" s="106">
        <v>1</v>
      </c>
      <c r="F56" s="106">
        <v>2</v>
      </c>
      <c r="G56" s="106">
        <v>3</v>
      </c>
      <c r="I56" s="7" t="str">
        <v/>
      </c>
      <c r="J56" s="7" t="str">
        <v/>
      </c>
      <c r="K56" s="7">
        <v>1</v>
      </c>
      <c r="L56">
        <v>2</v>
      </c>
      <c r="M56">
        <v>3</v>
      </c>
    </row>
    <row r="57" spans="2:13" x14ac:dyDescent="0.2">
      <c r="C57" s="104"/>
      <c r="D57" s="103" t="s">
        <v>351</v>
      </c>
      <c r="E57" s="103">
        <v>3</v>
      </c>
      <c r="F57" s="103">
        <v>3</v>
      </c>
      <c r="G57" s="104"/>
      <c r="I57" s="7" t="str">
        <v/>
      </c>
      <c r="J57" s="7" t="str">
        <v>Y</v>
      </c>
      <c r="K57" s="7">
        <v>3</v>
      </c>
      <c r="L57">
        <v>3</v>
      </c>
      <c r="M57" t="str">
        <v/>
      </c>
    </row>
    <row r="58" spans="2:13" x14ac:dyDescent="0.2">
      <c r="C58" s="104"/>
      <c r="D58" s="104"/>
      <c r="E58" s="106" cm="1">
        <f t="array" ref="E58:G60">L.MESHGRID(L.SE(1,3),L.SE(1,3),"Y")</f>
        <v>1</v>
      </c>
      <c r="F58" s="106">
        <v>1</v>
      </c>
      <c r="G58" s="106">
        <v>1</v>
      </c>
      <c r="I58" s="7" t="str">
        <v/>
      </c>
      <c r="J58" s="7" t="str">
        <v/>
      </c>
      <c r="K58" s="7">
        <v>1</v>
      </c>
      <c r="L58">
        <v>1</v>
      </c>
      <c r="M58">
        <v>1</v>
      </c>
    </row>
    <row r="59" spans="2:13" x14ac:dyDescent="0.2">
      <c r="C59" s="104"/>
      <c r="D59" s="104"/>
      <c r="E59" s="106">
        <v>2</v>
      </c>
      <c r="F59" s="106">
        <v>2</v>
      </c>
      <c r="G59" s="106">
        <v>2</v>
      </c>
      <c r="I59" s="7" t="str">
        <v/>
      </c>
      <c r="J59" s="7" t="str">
        <v/>
      </c>
      <c r="K59" s="7">
        <v>2</v>
      </c>
      <c r="L59">
        <v>2</v>
      </c>
      <c r="M59">
        <v>2</v>
      </c>
    </row>
    <row r="60" spans="2:13" x14ac:dyDescent="0.2">
      <c r="C60" s="104"/>
      <c r="D60" s="104"/>
      <c r="E60" s="106">
        <v>3</v>
      </c>
      <c r="F60" s="106">
        <v>3</v>
      </c>
      <c r="G60" s="106">
        <v>3</v>
      </c>
      <c r="I60" s="7" t="str">
        <v/>
      </c>
      <c r="J60" s="7" t="str">
        <v/>
      </c>
      <c r="K60" s="7">
        <v>3</v>
      </c>
      <c r="L60">
        <v>3</v>
      </c>
      <c r="M60">
        <v>3</v>
      </c>
    </row>
    <row r="61" spans="2:13" x14ac:dyDescent="0.2">
      <c r="C61" s="104"/>
      <c r="D61" s="103" t="s">
        <v>352</v>
      </c>
      <c r="E61" s="103">
        <v>3</v>
      </c>
      <c r="F61" s="103">
        <v>3</v>
      </c>
      <c r="G61" s="104"/>
      <c r="I61" s="7" t="str">
        <v/>
      </c>
      <c r="J61" s="7" t="str">
        <v>Z</v>
      </c>
      <c r="K61" s="7">
        <v>3</v>
      </c>
      <c r="L61">
        <v>3</v>
      </c>
      <c r="M61" t="str">
        <v/>
      </c>
    </row>
    <row r="62" spans="2:13" x14ac:dyDescent="0.2">
      <c r="C62" s="104"/>
      <c r="D62" s="104"/>
      <c r="E62" s="106" cm="1">
        <f t="array" ref="E62:G64">E54:G56^2+E58:G60^2-C52^2</f>
        <v>2</v>
      </c>
      <c r="F62" s="106">
        <v>5</v>
      </c>
      <c r="G62" s="106">
        <v>10</v>
      </c>
      <c r="I62" s="7" t="str">
        <v/>
      </c>
      <c r="J62" s="7" t="str">
        <v/>
      </c>
      <c r="K62" s="7">
        <v>2</v>
      </c>
      <c r="L62">
        <v>5</v>
      </c>
      <c r="M62">
        <v>10</v>
      </c>
    </row>
    <row r="63" spans="2:13" x14ac:dyDescent="0.2">
      <c r="C63" s="104"/>
      <c r="D63" s="104"/>
      <c r="E63" s="106">
        <v>5</v>
      </c>
      <c r="F63" s="106">
        <v>8</v>
      </c>
      <c r="G63" s="106">
        <v>13</v>
      </c>
      <c r="I63" s="7" t="str">
        <v/>
      </c>
      <c r="J63" s="7" t="str">
        <v/>
      </c>
      <c r="K63" s="7">
        <v>5</v>
      </c>
      <c r="L63">
        <v>8</v>
      </c>
      <c r="M63">
        <v>13</v>
      </c>
    </row>
    <row r="64" spans="2:13" x14ac:dyDescent="0.2">
      <c r="C64" s="104"/>
      <c r="D64" s="104"/>
      <c r="E64" s="106">
        <v>10</v>
      </c>
      <c r="F64" s="106">
        <v>13</v>
      </c>
      <c r="G64" s="106">
        <v>18</v>
      </c>
      <c r="I64" s="7" t="str">
        <v/>
      </c>
      <c r="J64" s="7" t="str">
        <v/>
      </c>
      <c r="K64" s="7">
        <v>10</v>
      </c>
      <c r="L64">
        <v>13</v>
      </c>
      <c r="M64">
        <v>18</v>
      </c>
    </row>
    <row r="65" spans="3:13" x14ac:dyDescent="0.2">
      <c r="C65" s="103">
        <v>1</v>
      </c>
      <c r="D65" s="103">
        <v>12</v>
      </c>
      <c r="E65" s="103">
        <v>4</v>
      </c>
      <c r="F65" s="104"/>
      <c r="G65" s="104"/>
      <c r="I65" s="7">
        <v>1</v>
      </c>
      <c r="J65" s="7">
        <v>12</v>
      </c>
      <c r="K65" s="7">
        <v>4</v>
      </c>
      <c r="L65" t="str">
        <v/>
      </c>
      <c r="M65" t="str">
        <v/>
      </c>
    </row>
    <row r="66" spans="3:13" x14ac:dyDescent="0.2">
      <c r="C66" s="104"/>
      <c r="D66" s="103" t="s">
        <v>328</v>
      </c>
      <c r="E66" s="103">
        <v>3</v>
      </c>
      <c r="F66" s="103">
        <v>3</v>
      </c>
      <c r="G66" s="104"/>
      <c r="I66" s="7" t="str">
        <v/>
      </c>
      <c r="J66" s="7" t="str">
        <v>X</v>
      </c>
      <c r="K66" s="7">
        <v>3</v>
      </c>
      <c r="L66">
        <v>3</v>
      </c>
      <c r="M66" t="str">
        <v/>
      </c>
    </row>
    <row r="67" spans="3:13" x14ac:dyDescent="0.2">
      <c r="C67" s="104"/>
      <c r="D67" s="104"/>
      <c r="E67" s="106" cm="1">
        <f t="array" ref="E67:G69">L.MESHGRID(L.SE(1,3),L.SE(1,3),"X")</f>
        <v>1</v>
      </c>
      <c r="F67" s="106">
        <v>2</v>
      </c>
      <c r="G67" s="106">
        <v>3</v>
      </c>
      <c r="I67" s="7" t="str">
        <v/>
      </c>
      <c r="J67" s="7" t="str">
        <v/>
      </c>
      <c r="K67" s="7">
        <v>1</v>
      </c>
      <c r="L67">
        <v>2</v>
      </c>
      <c r="M67">
        <v>3</v>
      </c>
    </row>
    <row r="68" spans="3:13" x14ac:dyDescent="0.2">
      <c r="C68" s="104"/>
      <c r="D68" s="104"/>
      <c r="E68" s="106">
        <v>1</v>
      </c>
      <c r="F68" s="106">
        <v>2</v>
      </c>
      <c r="G68" s="106">
        <v>3</v>
      </c>
      <c r="I68" s="7" t="str">
        <v/>
      </c>
      <c r="J68" s="7" t="str">
        <v/>
      </c>
      <c r="K68" s="7">
        <v>1</v>
      </c>
      <c r="L68">
        <v>2</v>
      </c>
      <c r="M68">
        <v>3</v>
      </c>
    </row>
    <row r="69" spans="3:13" x14ac:dyDescent="0.2">
      <c r="C69" s="104"/>
      <c r="D69" s="104"/>
      <c r="E69" s="106">
        <v>1</v>
      </c>
      <c r="F69" s="106">
        <v>2</v>
      </c>
      <c r="G69" s="106">
        <v>3</v>
      </c>
      <c r="I69" s="7" t="str">
        <v/>
      </c>
      <c r="J69" s="7" t="str">
        <v/>
      </c>
      <c r="K69" s="7">
        <v>1</v>
      </c>
      <c r="L69">
        <v>2</v>
      </c>
      <c r="M69">
        <v>3</v>
      </c>
    </row>
    <row r="70" spans="3:13" x14ac:dyDescent="0.2">
      <c r="C70" s="104"/>
      <c r="D70" s="103" t="s">
        <v>351</v>
      </c>
      <c r="E70" s="103">
        <v>3</v>
      </c>
      <c r="F70" s="103">
        <v>3</v>
      </c>
      <c r="G70" s="104"/>
      <c r="I70" s="7" t="str">
        <v/>
      </c>
      <c r="J70" s="7" t="str">
        <v>Y</v>
      </c>
      <c r="K70" s="7">
        <v>3</v>
      </c>
      <c r="L70">
        <v>3</v>
      </c>
      <c r="M70" t="str">
        <v/>
      </c>
    </row>
    <row r="71" spans="3:13" x14ac:dyDescent="0.2">
      <c r="C71" s="104"/>
      <c r="D71" s="104"/>
      <c r="E71" s="106" cm="1">
        <f t="array" ref="E71:G73">L.MESHGRID(L.SE(1,3),L.SE(1,3),"Y")</f>
        <v>1</v>
      </c>
      <c r="F71" s="106">
        <v>1</v>
      </c>
      <c r="G71" s="106">
        <v>1</v>
      </c>
      <c r="I71" s="7" t="str">
        <v/>
      </c>
      <c r="J71" s="7" t="str">
        <v/>
      </c>
      <c r="K71" s="7">
        <v>1</v>
      </c>
      <c r="L71">
        <v>1</v>
      </c>
      <c r="M71">
        <v>1</v>
      </c>
    </row>
    <row r="72" spans="3:13" x14ac:dyDescent="0.2">
      <c r="C72" s="104"/>
      <c r="D72" s="104"/>
      <c r="E72" s="106">
        <v>2</v>
      </c>
      <c r="F72" s="106">
        <v>2</v>
      </c>
      <c r="G72" s="106">
        <v>2</v>
      </c>
      <c r="I72" s="7" t="str">
        <v/>
      </c>
      <c r="J72" s="7" t="str">
        <v/>
      </c>
      <c r="K72" s="7">
        <v>2</v>
      </c>
      <c r="L72">
        <v>2</v>
      </c>
      <c r="M72">
        <v>2</v>
      </c>
    </row>
    <row r="73" spans="3:13" x14ac:dyDescent="0.2">
      <c r="C73" s="104"/>
      <c r="D73" s="104"/>
      <c r="E73" s="106">
        <v>3</v>
      </c>
      <c r="F73" s="106">
        <v>3</v>
      </c>
      <c r="G73" s="106">
        <v>3</v>
      </c>
      <c r="I73" s="7" t="str">
        <v/>
      </c>
      <c r="J73" s="7" t="str">
        <v/>
      </c>
      <c r="K73" s="7">
        <v>3</v>
      </c>
      <c r="L73">
        <v>3</v>
      </c>
      <c r="M73">
        <v>3</v>
      </c>
    </row>
    <row r="74" spans="3:13" x14ac:dyDescent="0.2">
      <c r="C74" s="104"/>
      <c r="D74" s="103" t="s">
        <v>352</v>
      </c>
      <c r="E74" s="103">
        <v>3</v>
      </c>
      <c r="F74" s="103">
        <v>3</v>
      </c>
      <c r="G74" s="104"/>
      <c r="I74" s="7" t="str">
        <v/>
      </c>
      <c r="J74" s="7" t="str">
        <v>Z</v>
      </c>
      <c r="K74" s="7">
        <v>3</v>
      </c>
      <c r="L74">
        <v>3</v>
      </c>
      <c r="M74" t="str">
        <v/>
      </c>
    </row>
    <row r="75" spans="3:13" x14ac:dyDescent="0.2">
      <c r="C75" s="104"/>
      <c r="D75" s="104"/>
      <c r="E75" s="106" cm="1">
        <f t="array" ref="E75:G77">E67:G69^2+E71:G73^2-C65^2</f>
        <v>1</v>
      </c>
      <c r="F75" s="106">
        <v>4</v>
      </c>
      <c r="G75" s="106">
        <v>9</v>
      </c>
      <c r="I75" s="7" t="str">
        <v/>
      </c>
      <c r="J75" s="7" t="str">
        <v/>
      </c>
      <c r="K75" s="7">
        <v>1</v>
      </c>
      <c r="L75">
        <v>4</v>
      </c>
      <c r="M75">
        <v>9</v>
      </c>
    </row>
    <row r="76" spans="3:13" x14ac:dyDescent="0.2">
      <c r="C76" s="104"/>
      <c r="D76" s="104"/>
      <c r="E76" s="106">
        <v>4</v>
      </c>
      <c r="F76" s="106">
        <v>7</v>
      </c>
      <c r="G76" s="106">
        <v>12</v>
      </c>
      <c r="I76" s="7" t="str">
        <v/>
      </c>
      <c r="J76" s="7" t="str">
        <v/>
      </c>
      <c r="K76" s="7">
        <v>4</v>
      </c>
      <c r="L76">
        <v>7</v>
      </c>
      <c r="M76">
        <v>12</v>
      </c>
    </row>
    <row r="77" spans="3:13" x14ac:dyDescent="0.2">
      <c r="C77" s="104"/>
      <c r="D77" s="104"/>
      <c r="E77" s="106">
        <v>9</v>
      </c>
      <c r="F77" s="106">
        <v>12</v>
      </c>
      <c r="G77" s="106">
        <v>17</v>
      </c>
      <c r="I77" s="7" t="str">
        <v/>
      </c>
      <c r="J77" s="7" t="str">
        <v/>
      </c>
      <c r="K77" s="7">
        <v>9</v>
      </c>
      <c r="L77">
        <v>12</v>
      </c>
      <c r="M77">
        <v>17</v>
      </c>
    </row>
    <row r="78" spans="3:13" x14ac:dyDescent="0.2">
      <c r="C78" s="103">
        <v>2</v>
      </c>
      <c r="D78" s="103">
        <v>12</v>
      </c>
      <c r="E78" s="103">
        <v>4</v>
      </c>
      <c r="F78" s="104"/>
      <c r="G78" s="104"/>
      <c r="I78" s="7">
        <v>2</v>
      </c>
      <c r="J78" s="7">
        <v>12</v>
      </c>
      <c r="K78" s="7">
        <v>4</v>
      </c>
      <c r="L78" t="str">
        <v/>
      </c>
      <c r="M78" t="str">
        <v/>
      </c>
    </row>
    <row r="79" spans="3:13" x14ac:dyDescent="0.2">
      <c r="C79" s="104"/>
      <c r="D79" s="103" t="s">
        <v>328</v>
      </c>
      <c r="E79" s="103">
        <v>3</v>
      </c>
      <c r="F79" s="103">
        <v>3</v>
      </c>
      <c r="G79" s="104"/>
      <c r="I79" s="7" t="str">
        <v/>
      </c>
      <c r="J79" s="7" t="str">
        <v>X</v>
      </c>
      <c r="K79" s="7">
        <v>3</v>
      </c>
      <c r="L79">
        <v>3</v>
      </c>
      <c r="M79" t="str">
        <v/>
      </c>
    </row>
    <row r="80" spans="3:13" x14ac:dyDescent="0.2">
      <c r="C80" s="104"/>
      <c r="D80" s="104"/>
      <c r="E80" s="106" cm="1">
        <f t="array" ref="E80:G82">L.MESHGRID(L.SE(1,3),L.SE(1,3),"X")</f>
        <v>1</v>
      </c>
      <c r="F80" s="106">
        <v>2</v>
      </c>
      <c r="G80" s="106">
        <v>3</v>
      </c>
      <c r="I80" s="7" t="str">
        <v/>
      </c>
      <c r="J80" s="7" t="str">
        <v/>
      </c>
      <c r="K80" s="7">
        <v>1</v>
      </c>
      <c r="L80">
        <v>2</v>
      </c>
      <c r="M80">
        <v>3</v>
      </c>
    </row>
    <row r="81" spans="3:13" x14ac:dyDescent="0.2">
      <c r="C81" s="104"/>
      <c r="D81" s="104"/>
      <c r="E81" s="106">
        <v>1</v>
      </c>
      <c r="F81" s="106">
        <v>2</v>
      </c>
      <c r="G81" s="106">
        <v>3</v>
      </c>
      <c r="I81" s="7" t="str">
        <v/>
      </c>
      <c r="J81" s="7" t="str">
        <v/>
      </c>
      <c r="K81" s="7">
        <v>1</v>
      </c>
      <c r="L81">
        <v>2</v>
      </c>
      <c r="M81">
        <v>3</v>
      </c>
    </row>
    <row r="82" spans="3:13" x14ac:dyDescent="0.2">
      <c r="C82" s="104"/>
      <c r="D82" s="104"/>
      <c r="E82" s="106">
        <v>1</v>
      </c>
      <c r="F82" s="106">
        <v>2</v>
      </c>
      <c r="G82" s="106">
        <v>3</v>
      </c>
      <c r="I82" s="7" t="str">
        <v/>
      </c>
      <c r="J82" s="7" t="str">
        <v/>
      </c>
      <c r="K82" s="7">
        <v>1</v>
      </c>
      <c r="L82">
        <v>2</v>
      </c>
      <c r="M82">
        <v>3</v>
      </c>
    </row>
    <row r="83" spans="3:13" x14ac:dyDescent="0.2">
      <c r="C83" s="104"/>
      <c r="D83" s="103" t="s">
        <v>351</v>
      </c>
      <c r="E83" s="103">
        <v>3</v>
      </c>
      <c r="F83" s="103">
        <v>3</v>
      </c>
      <c r="G83" s="104"/>
      <c r="I83" s="7" t="str">
        <v/>
      </c>
      <c r="J83" s="7" t="str">
        <v>Y</v>
      </c>
      <c r="K83" s="7">
        <v>3</v>
      </c>
      <c r="L83">
        <v>3</v>
      </c>
      <c r="M83" t="str">
        <v/>
      </c>
    </row>
    <row r="84" spans="3:13" x14ac:dyDescent="0.2">
      <c r="C84" s="104"/>
      <c r="D84" s="104"/>
      <c r="E84" s="106" cm="1">
        <f t="array" ref="E84:G86">L.MESHGRID(L.SE(1,3),L.SE(1,3),"Y")</f>
        <v>1</v>
      </c>
      <c r="F84" s="106">
        <v>1</v>
      </c>
      <c r="G84" s="106">
        <v>1</v>
      </c>
      <c r="I84" s="7" t="str">
        <v/>
      </c>
      <c r="J84" s="7" t="str">
        <v/>
      </c>
      <c r="K84" s="7">
        <v>1</v>
      </c>
      <c r="L84">
        <v>1</v>
      </c>
      <c r="M84">
        <v>1</v>
      </c>
    </row>
    <row r="85" spans="3:13" x14ac:dyDescent="0.2">
      <c r="C85" s="104"/>
      <c r="D85" s="104"/>
      <c r="E85" s="106">
        <v>2</v>
      </c>
      <c r="F85" s="106">
        <v>2</v>
      </c>
      <c r="G85" s="106">
        <v>2</v>
      </c>
      <c r="I85" s="7" t="str">
        <v/>
      </c>
      <c r="J85" s="7" t="str">
        <v/>
      </c>
      <c r="K85" s="7">
        <v>2</v>
      </c>
      <c r="L85">
        <v>2</v>
      </c>
      <c r="M85">
        <v>2</v>
      </c>
    </row>
    <row r="86" spans="3:13" x14ac:dyDescent="0.2">
      <c r="C86" s="104"/>
      <c r="D86" s="104"/>
      <c r="E86" s="106">
        <v>3</v>
      </c>
      <c r="F86" s="106">
        <v>3</v>
      </c>
      <c r="G86" s="106">
        <v>3</v>
      </c>
      <c r="I86" s="7" t="str">
        <v/>
      </c>
      <c r="J86" s="7" t="str">
        <v/>
      </c>
      <c r="K86" s="7">
        <v>3</v>
      </c>
      <c r="L86">
        <v>3</v>
      </c>
      <c r="M86">
        <v>3</v>
      </c>
    </row>
    <row r="87" spans="3:13" x14ac:dyDescent="0.2">
      <c r="C87" s="104"/>
      <c r="D87" s="103" t="s">
        <v>352</v>
      </c>
      <c r="E87" s="103">
        <v>3</v>
      </c>
      <c r="F87" s="103">
        <v>3</v>
      </c>
      <c r="G87" s="104"/>
      <c r="I87" s="7" t="str">
        <v/>
      </c>
      <c r="J87" s="7" t="str">
        <v>Z</v>
      </c>
      <c r="K87" s="7">
        <v>3</v>
      </c>
      <c r="L87">
        <v>3</v>
      </c>
      <c r="M87" t="str">
        <v/>
      </c>
    </row>
    <row r="88" spans="3:13" x14ac:dyDescent="0.2">
      <c r="C88" s="104"/>
      <c r="D88" s="104"/>
      <c r="E88" s="106" cm="1">
        <f t="array" ref="E88:G90">E80:G82^2+E84:G86^2-C78^2</f>
        <v>-2</v>
      </c>
      <c r="F88" s="106">
        <v>1</v>
      </c>
      <c r="G88" s="106">
        <v>6</v>
      </c>
      <c r="I88" s="7" t="str">
        <v/>
      </c>
      <c r="J88" s="7" t="str">
        <v/>
      </c>
      <c r="K88" s="7">
        <v>-2</v>
      </c>
      <c r="L88">
        <v>1</v>
      </c>
      <c r="M88">
        <v>6</v>
      </c>
    </row>
    <row r="89" spans="3:13" x14ac:dyDescent="0.2">
      <c r="C89" s="104"/>
      <c r="D89" s="104"/>
      <c r="E89" s="106">
        <v>1</v>
      </c>
      <c r="F89" s="106">
        <v>4</v>
      </c>
      <c r="G89" s="106">
        <v>9</v>
      </c>
      <c r="I89" s="7" t="str">
        <v/>
      </c>
      <c r="J89" s="7" t="str">
        <v/>
      </c>
      <c r="K89" s="7">
        <v>1</v>
      </c>
      <c r="L89">
        <v>4</v>
      </c>
      <c r="M89">
        <v>9</v>
      </c>
    </row>
    <row r="90" spans="3:13" x14ac:dyDescent="0.2">
      <c r="C90" s="104"/>
      <c r="D90" s="104"/>
      <c r="E90" s="106">
        <v>6</v>
      </c>
      <c r="F90" s="106">
        <v>9</v>
      </c>
      <c r="G90" s="106">
        <v>14</v>
      </c>
      <c r="I90" s="7" t="str">
        <v/>
      </c>
      <c r="J90" s="7" t="str">
        <v/>
      </c>
      <c r="K90" s="7">
        <v>6</v>
      </c>
      <c r="L90">
        <v>9</v>
      </c>
      <c r="M90">
        <v>14</v>
      </c>
    </row>
    <row r="91" spans="3:13" x14ac:dyDescent="0.2">
      <c r="L91"/>
      <c r="M91"/>
    </row>
    <row r="93" spans="3:13" x14ac:dyDescent="0.2">
      <c r="C93" s="57" t="s">
        <v>355</v>
      </c>
    </row>
    <row r="94" spans="3:13" x14ac:dyDescent="0.2">
      <c r="C94" s="39" t="s">
        <v>356</v>
      </c>
      <c r="D94" s="42">
        <v>2</v>
      </c>
      <c r="E94" s="42" t="s">
        <v>352</v>
      </c>
      <c r="F94" s="45"/>
    </row>
    <row r="95" spans="3:13" x14ac:dyDescent="0.2">
      <c r="C95"/>
      <c r="D95"/>
      <c r="E95"/>
      <c r="F95" s="45"/>
    </row>
    <row r="96" spans="3:13" x14ac:dyDescent="0.2">
      <c r="C96" s="40" t="s">
        <v>97</v>
      </c>
      <c r="D96"/>
      <c r="E96"/>
      <c r="F96" s="45"/>
    </row>
    <row r="97" spans="1:11" x14ac:dyDescent="0.2">
      <c r="C97" s="64" cm="1">
        <f t="array" ref="C97:E99">L.STRUCT_GET(D94:E94,C52:G90)</f>
        <v>-2</v>
      </c>
      <c r="D97" s="45">
        <v>1</v>
      </c>
      <c r="E97" s="45">
        <v>6</v>
      </c>
      <c r="F97" s="45"/>
    </row>
    <row r="98" spans="1:11" x14ac:dyDescent="0.2">
      <c r="C98" s="45">
        <v>1</v>
      </c>
      <c r="D98" s="45">
        <v>4</v>
      </c>
      <c r="E98" s="45">
        <v>9</v>
      </c>
      <c r="F98" s="45"/>
    </row>
    <row r="99" spans="1:11" x14ac:dyDescent="0.2">
      <c r="C99" s="45">
        <v>6</v>
      </c>
      <c r="D99" s="45">
        <v>9</v>
      </c>
      <c r="E99" s="45">
        <v>14</v>
      </c>
      <c r="F99" s="45"/>
    </row>
    <row r="102" spans="1:11" customFormat="1" ht="23.25" x14ac:dyDescent="0.2">
      <c r="A102" s="7" t="s">
        <v>6</v>
      </c>
      <c r="B102" s="12" t="s">
        <v>358</v>
      </c>
      <c r="C102" s="8"/>
      <c r="D102" s="8"/>
      <c r="E102" s="8"/>
      <c r="F102" s="8"/>
      <c r="G102" s="8"/>
      <c r="H102" s="8"/>
      <c r="I102" s="8"/>
      <c r="J102" s="8"/>
      <c r="K102" s="7"/>
    </row>
    <row r="103" spans="1:11" x14ac:dyDescent="0.2">
      <c r="B103" s="41" t="s">
        <v>360</v>
      </c>
    </row>
    <row r="106" spans="1:11" x14ac:dyDescent="0.2">
      <c r="D106" s="39" t="s">
        <v>173</v>
      </c>
      <c r="E106" s="39" t="s">
        <v>174</v>
      </c>
      <c r="F106" s="39" t="s">
        <v>359</v>
      </c>
    </row>
    <row r="107" spans="1:11" x14ac:dyDescent="0.2">
      <c r="C107" s="39" t="s">
        <v>123</v>
      </c>
      <c r="D107" s="42">
        <v>1</v>
      </c>
      <c r="E107" s="42">
        <v>3</v>
      </c>
      <c r="F107" s="42">
        <v>5</v>
      </c>
    </row>
    <row r="108" spans="1:11" x14ac:dyDescent="0.2">
      <c r="C108" s="39" t="s">
        <v>124</v>
      </c>
      <c r="D108" s="42">
        <v>1</v>
      </c>
      <c r="E108" s="42">
        <v>4</v>
      </c>
      <c r="F108" s="42">
        <v>5</v>
      </c>
    </row>
    <row r="110" spans="1:11" x14ac:dyDescent="0.2">
      <c r="C110" s="40" t="s">
        <v>97</v>
      </c>
    </row>
    <row r="111" spans="1:11" x14ac:dyDescent="0.2">
      <c r="C111" s="94" t="str" cm="1">
        <f t="array" ref="C111:H128">_xlfn.LET(_xlpm.xvec, L.LINSPACE(D107, E107, F107), _xlpm.yvec, L.LINSPACE(D108, E108, F108), _xlpm.xgrid, L.MESHGRID(_xlpm.xvec, _xlpm.yvec, "X"), _xlpm.ygrid, L.MESHGRID(_xlpm.xvec, _xlpm.yvec, "Y"), _xlpm.zgrid, _xlpm.xgrid ^ 2 + 2 * _xlpm.ygrid ^ 1.2 - _xlpm.xgrid * _xlpm.ygrid, L.STRUCT_CREATE("X", _xlpm.xgrid, "Y", _xlpm.ygrid, "Z", _xlpm.zgrid))</f>
        <v>X</v>
      </c>
      <c r="D111" s="7">
        <v>5</v>
      </c>
      <c r="E111" s="7">
        <v>5</v>
      </c>
      <c r="F111" s="7" t="str">
        <v/>
      </c>
      <c r="G111" s="7" t="str">
        <v/>
      </c>
      <c r="H111" s="7" t="str">
        <v/>
      </c>
    </row>
    <row r="112" spans="1:11" x14ac:dyDescent="0.2">
      <c r="C112" s="7" t="str">
        <v/>
      </c>
      <c r="D112" s="7">
        <v>1</v>
      </c>
      <c r="E112" s="7">
        <v>1.5</v>
      </c>
      <c r="F112" s="7">
        <v>2</v>
      </c>
      <c r="G112" s="7">
        <v>2.5</v>
      </c>
      <c r="H112" s="7">
        <v>3</v>
      </c>
    </row>
    <row r="113" spans="3:8" x14ac:dyDescent="0.2">
      <c r="C113" s="7" t="str">
        <v/>
      </c>
      <c r="D113" s="7">
        <v>1</v>
      </c>
      <c r="E113" s="7">
        <v>1.5</v>
      </c>
      <c r="F113" s="7">
        <v>2</v>
      </c>
      <c r="G113" s="7">
        <v>2.5</v>
      </c>
      <c r="H113" s="7">
        <v>3</v>
      </c>
    </row>
    <row r="114" spans="3:8" x14ac:dyDescent="0.2">
      <c r="C114" s="7" t="str">
        <v/>
      </c>
      <c r="D114" s="7">
        <v>1</v>
      </c>
      <c r="E114" s="7">
        <v>1.5</v>
      </c>
      <c r="F114" s="7">
        <v>2</v>
      </c>
      <c r="G114" s="7">
        <v>2.5</v>
      </c>
      <c r="H114" s="7">
        <v>3</v>
      </c>
    </row>
    <row r="115" spans="3:8" x14ac:dyDescent="0.2">
      <c r="C115" s="7" t="str">
        <v/>
      </c>
      <c r="D115" s="7">
        <v>1</v>
      </c>
      <c r="E115" s="7">
        <v>1.5</v>
      </c>
      <c r="F115" s="7">
        <v>2</v>
      </c>
      <c r="G115" s="7">
        <v>2.5</v>
      </c>
      <c r="H115" s="7">
        <v>3</v>
      </c>
    </row>
    <row r="116" spans="3:8" x14ac:dyDescent="0.2">
      <c r="C116" s="7" t="str">
        <v/>
      </c>
      <c r="D116" s="7">
        <v>1</v>
      </c>
      <c r="E116" s="7">
        <v>1.5</v>
      </c>
      <c r="F116" s="7">
        <v>2</v>
      </c>
      <c r="G116" s="7">
        <v>2.5</v>
      </c>
      <c r="H116" s="7">
        <v>3</v>
      </c>
    </row>
    <row r="117" spans="3:8" x14ac:dyDescent="0.2">
      <c r="C117" s="7" t="str">
        <v>Y</v>
      </c>
      <c r="D117" s="7">
        <v>5</v>
      </c>
      <c r="E117" s="7">
        <v>5</v>
      </c>
      <c r="F117" s="7" t="str">
        <v/>
      </c>
      <c r="G117" s="7" t="str">
        <v/>
      </c>
      <c r="H117" s="7" t="str">
        <v/>
      </c>
    </row>
    <row r="118" spans="3:8" x14ac:dyDescent="0.2">
      <c r="C118" s="7" t="str">
        <v/>
      </c>
      <c r="D118" s="7">
        <v>1</v>
      </c>
      <c r="E118" s="7">
        <v>1</v>
      </c>
      <c r="F118" s="7">
        <v>1</v>
      </c>
      <c r="G118" s="7">
        <v>1</v>
      </c>
      <c r="H118" s="7">
        <v>1</v>
      </c>
    </row>
    <row r="119" spans="3:8" x14ac:dyDescent="0.2">
      <c r="C119" s="7" t="str">
        <v/>
      </c>
      <c r="D119" s="7">
        <v>1.75</v>
      </c>
      <c r="E119" s="7">
        <v>1.75</v>
      </c>
      <c r="F119" s="7">
        <v>1.75</v>
      </c>
      <c r="G119" s="7">
        <v>1.75</v>
      </c>
      <c r="H119" s="7">
        <v>1.75</v>
      </c>
    </row>
    <row r="120" spans="3:8" x14ac:dyDescent="0.2">
      <c r="C120" s="7" t="str">
        <v/>
      </c>
      <c r="D120" s="7">
        <v>2.5</v>
      </c>
      <c r="E120" s="7">
        <v>2.5</v>
      </c>
      <c r="F120" s="7">
        <v>2.5</v>
      </c>
      <c r="G120" s="7">
        <v>2.5</v>
      </c>
      <c r="H120" s="7">
        <v>2.5</v>
      </c>
    </row>
    <row r="121" spans="3:8" x14ac:dyDescent="0.2">
      <c r="C121" s="7" t="str">
        <v/>
      </c>
      <c r="D121" s="7">
        <v>3.25</v>
      </c>
      <c r="E121" s="7">
        <v>3.25</v>
      </c>
      <c r="F121" s="7">
        <v>3.25</v>
      </c>
      <c r="G121" s="7">
        <v>3.25</v>
      </c>
      <c r="H121" s="7">
        <v>3.25</v>
      </c>
    </row>
    <row r="122" spans="3:8" x14ac:dyDescent="0.2">
      <c r="C122" s="7" t="str">
        <v/>
      </c>
      <c r="D122" s="7">
        <v>4</v>
      </c>
      <c r="E122" s="7">
        <v>4</v>
      </c>
      <c r="F122" s="7">
        <v>4</v>
      </c>
      <c r="G122" s="7">
        <v>4</v>
      </c>
      <c r="H122" s="7">
        <v>4</v>
      </c>
    </row>
    <row r="123" spans="3:8" x14ac:dyDescent="0.2">
      <c r="C123" s="7" t="str">
        <v>Z</v>
      </c>
      <c r="D123" s="7">
        <v>5</v>
      </c>
      <c r="E123" s="7">
        <v>5</v>
      </c>
      <c r="F123" s="7" t="str">
        <v/>
      </c>
      <c r="G123" s="7" t="str">
        <v/>
      </c>
      <c r="H123" s="7" t="str">
        <v/>
      </c>
    </row>
    <row r="124" spans="3:8" x14ac:dyDescent="0.2">
      <c r="C124" s="7" t="str">
        <v/>
      </c>
      <c r="D124" s="7">
        <v>2</v>
      </c>
      <c r="E124" s="7">
        <v>2.75</v>
      </c>
      <c r="F124" s="7">
        <v>4</v>
      </c>
      <c r="G124" s="7">
        <v>5.75</v>
      </c>
      <c r="H124" s="7">
        <v>8</v>
      </c>
    </row>
    <row r="125" spans="3:8" x14ac:dyDescent="0.2">
      <c r="C125" s="7" t="str">
        <v/>
      </c>
      <c r="D125" s="7">
        <v>3.1644942015205064</v>
      </c>
      <c r="E125" s="7">
        <v>3.5394942015205064</v>
      </c>
      <c r="F125" s="7">
        <v>4.4144942015205064</v>
      </c>
      <c r="G125" s="7">
        <v>5.7894942015205064</v>
      </c>
      <c r="H125" s="7">
        <v>7.6644942015205064</v>
      </c>
    </row>
    <row r="126" spans="3:8" x14ac:dyDescent="0.2">
      <c r="C126" s="7" t="str">
        <v/>
      </c>
      <c r="D126" s="7">
        <v>4.5056221699071566</v>
      </c>
      <c r="E126" s="7">
        <v>4.5056221699071557</v>
      </c>
      <c r="F126" s="7">
        <v>5.0056221699071557</v>
      </c>
      <c r="G126" s="7">
        <v>6.0056221699071557</v>
      </c>
      <c r="H126" s="7">
        <v>7.5056221699071557</v>
      </c>
    </row>
    <row r="127" spans="3:8" x14ac:dyDescent="0.2">
      <c r="C127" s="7" t="str">
        <v/>
      </c>
      <c r="D127" s="7">
        <v>5.9779194020268935</v>
      </c>
      <c r="E127" s="7">
        <v>5.6029194020268935</v>
      </c>
      <c r="F127" s="7">
        <v>5.7279194020268935</v>
      </c>
      <c r="G127" s="7">
        <v>6.3529194020268935</v>
      </c>
      <c r="H127" s="7">
        <v>7.4779194020268918</v>
      </c>
    </row>
    <row r="128" spans="3:8" x14ac:dyDescent="0.2">
      <c r="C128" s="7" t="str">
        <v/>
      </c>
      <c r="D128" s="7">
        <v>7.5560632861831536</v>
      </c>
      <c r="E128" s="7">
        <v>6.8060632861831536</v>
      </c>
      <c r="F128" s="7">
        <v>6.5560632861831536</v>
      </c>
      <c r="G128" s="7">
        <v>6.8060632861831536</v>
      </c>
      <c r="H128" s="7">
        <v>7.5560632861831536</v>
      </c>
    </row>
    <row r="136" spans="1:11" customFormat="1" ht="18" customHeight="1" x14ac:dyDescent="0.2">
      <c r="A136" s="28" t="s">
        <v>6</v>
      </c>
      <c r="B136" s="13"/>
      <c r="C136" s="14"/>
      <c r="D136" s="6"/>
      <c r="E136" s="6"/>
      <c r="F136" s="6"/>
      <c r="G136" s="6"/>
      <c r="H136" s="6"/>
      <c r="I136" s="6"/>
      <c r="J136" s="6"/>
      <c r="K136" s="7"/>
    </row>
  </sheetData>
  <mergeCells count="2">
    <mergeCell ref="I1:J1"/>
    <mergeCell ref="B5:J7"/>
  </mergeCells>
  <hyperlinks>
    <hyperlink ref="B2" r:id="rId1" xr:uid="{7D530ED3-A884-49C2-BF2E-93065E797697}"/>
    <hyperlink ref="B10" r:id="rId2" xr:uid="{457F562F-40CB-4B88-8C55-70AB396BFA0A}"/>
  </hyperlinks>
  <pageMargins left="0.7" right="0.7" top="0.75" bottom="0.75" header="0.3" footer="0.3"/>
  <pageSetup paperSize="0" orientation="portrait" horizontalDpi="203" verticalDpi="203"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45D3-C7CB-43C7-A529-7A5E8448CFB5}">
  <sheetPr>
    <outlinePr summaryBelow="0"/>
  </sheetPr>
  <dimension ref="A1:P42"/>
  <sheetViews>
    <sheetView showGridLines="0" zoomScaleNormal="100" workbookViewId="0"/>
  </sheetViews>
  <sheetFormatPr defaultColWidth="0" defaultRowHeight="14.25" zeroHeight="1" x14ac:dyDescent="0.2"/>
  <cols>
    <col min="1" max="1" width="4.5" customWidth="1"/>
    <col min="2" max="10" width="10.75" customWidth="1"/>
    <col min="11" max="11" width="10.75" hidden="1" customWidth="1"/>
    <col min="12" max="13" width="9" hidden="1" customWidth="1"/>
    <col min="14" max="16" width="0" hidden="1" customWidth="1"/>
    <col min="17" max="16384" width="9" hidden="1"/>
  </cols>
  <sheetData>
    <row r="1" spans="1:10" ht="36.950000000000003" customHeight="1" x14ac:dyDescent="0.2">
      <c r="A1" s="1"/>
      <c r="B1" s="2" t="s">
        <v>72</v>
      </c>
      <c r="C1" s="1"/>
      <c r="D1" s="1"/>
      <c r="E1" s="1"/>
      <c r="F1" s="1"/>
      <c r="G1" s="1"/>
      <c r="H1" s="1"/>
      <c r="I1" s="1"/>
      <c r="J1" s="1"/>
    </row>
    <row r="2" spans="1:10" ht="18" customHeight="1" x14ac:dyDescent="0.2"/>
    <row r="3" spans="1:10" ht="18" customHeight="1" x14ac:dyDescent="0.2">
      <c r="B3" s="21" t="s">
        <v>54</v>
      </c>
    </row>
    <row r="4" spans="1:10" x14ac:dyDescent="0.2">
      <c r="B4" t="s">
        <v>75</v>
      </c>
    </row>
    <row r="5" spans="1:10" x14ac:dyDescent="0.2">
      <c r="B5" t="s">
        <v>76</v>
      </c>
    </row>
    <row r="6" spans="1:10" x14ac:dyDescent="0.2">
      <c r="B6" t="s">
        <v>74</v>
      </c>
    </row>
    <row r="7" spans="1:10" x14ac:dyDescent="0.2">
      <c r="B7" s="3" t="s">
        <v>55</v>
      </c>
    </row>
    <row r="8" spans="1:10" ht="18" customHeight="1" x14ac:dyDescent="0.2"/>
    <row r="9" spans="1:10" ht="18" customHeight="1" x14ac:dyDescent="0.2">
      <c r="B9" s="21" t="s">
        <v>73</v>
      </c>
    </row>
    <row r="10" spans="1:10" ht="18" customHeight="1" x14ac:dyDescent="0.2">
      <c r="B10" s="22" t="s">
        <v>53</v>
      </c>
      <c r="C10" s="34"/>
      <c r="E10" s="26"/>
      <c r="F10" s="5"/>
      <c r="G10" s="5"/>
      <c r="J10" s="5"/>
    </row>
    <row r="11" spans="1:10" ht="18" customHeight="1" x14ac:dyDescent="0.2"/>
    <row r="12" spans="1:10" ht="30" x14ac:dyDescent="0.25">
      <c r="B12" s="31" t="s">
        <v>45</v>
      </c>
    </row>
    <row r="13" spans="1:10" x14ac:dyDescent="0.2">
      <c r="B13" s="32"/>
    </row>
    <row r="14" spans="1:10" ht="15" x14ac:dyDescent="0.2">
      <c r="B14" s="33" t="s">
        <v>56</v>
      </c>
    </row>
    <row r="15" spans="1:10" x14ac:dyDescent="0.2">
      <c r="B15" s="32"/>
    </row>
    <row r="16" spans="1:10" ht="15" x14ac:dyDescent="0.2">
      <c r="B16" s="33" t="s">
        <v>57</v>
      </c>
    </row>
    <row r="17" spans="2:2" ht="15" x14ac:dyDescent="0.2">
      <c r="B17" s="33" t="s">
        <v>58</v>
      </c>
    </row>
    <row r="18" spans="2:2" ht="15" x14ac:dyDescent="0.2">
      <c r="B18" s="33" t="s">
        <v>59</v>
      </c>
    </row>
    <row r="19" spans="2:2" ht="15" x14ac:dyDescent="0.2">
      <c r="B19" s="33" t="s">
        <v>60</v>
      </c>
    </row>
    <row r="20" spans="2:2" ht="15" x14ac:dyDescent="0.2">
      <c r="B20" s="33" t="s">
        <v>61</v>
      </c>
    </row>
    <row r="21" spans="2:2" ht="15" x14ac:dyDescent="0.2">
      <c r="B21" s="33" t="s">
        <v>62</v>
      </c>
    </row>
    <row r="22" spans="2:2" x14ac:dyDescent="0.2">
      <c r="B22" s="32"/>
    </row>
    <row r="23" spans="2:2" ht="15" x14ac:dyDescent="0.2">
      <c r="B23" s="33" t="s">
        <v>63</v>
      </c>
    </row>
    <row r="24" spans="2:2" ht="15" x14ac:dyDescent="0.2">
      <c r="B24" s="33" t="s">
        <v>64</v>
      </c>
    </row>
    <row r="25" spans="2:2" x14ac:dyDescent="0.2">
      <c r="B25" s="32"/>
    </row>
    <row r="26" spans="2:2" ht="15" x14ac:dyDescent="0.2">
      <c r="B26" s="33" t="s">
        <v>65</v>
      </c>
    </row>
    <row r="27" spans="2:2" ht="15" x14ac:dyDescent="0.2">
      <c r="B27" s="33" t="s">
        <v>66</v>
      </c>
    </row>
    <row r="28" spans="2:2" ht="15" x14ac:dyDescent="0.2">
      <c r="B28" s="33" t="s">
        <v>67</v>
      </c>
    </row>
    <row r="29" spans="2:2" ht="15" x14ac:dyDescent="0.2">
      <c r="B29" s="33" t="s">
        <v>68</v>
      </c>
    </row>
    <row r="30" spans="2:2" ht="15" x14ac:dyDescent="0.2">
      <c r="B30" s="33" t="s">
        <v>69</v>
      </c>
    </row>
    <row r="31" spans="2:2" ht="15" x14ac:dyDescent="0.2">
      <c r="B31" s="33" t="s">
        <v>70</v>
      </c>
    </row>
    <row r="32" spans="2:2" ht="15" x14ac:dyDescent="0.25">
      <c r="B32" s="31" t="s">
        <v>71</v>
      </c>
    </row>
    <row r="33" x14ac:dyDescent="0.2"/>
    <row r="34" x14ac:dyDescent="0.2"/>
    <row r="35" x14ac:dyDescent="0.2"/>
    <row r="36" x14ac:dyDescent="0.2"/>
    <row r="37" x14ac:dyDescent="0.2"/>
    <row r="38" x14ac:dyDescent="0.2"/>
    <row r="39" x14ac:dyDescent="0.2"/>
    <row r="40" x14ac:dyDescent="0.2"/>
    <row r="41" x14ac:dyDescent="0.2"/>
    <row r="42" x14ac:dyDescent="0.2"/>
  </sheetData>
  <hyperlinks>
    <hyperlink ref="B10" r:id="rId1" xr:uid="{6C1F058B-6BA7-40FC-9C72-34129FFE7DD3}"/>
    <hyperlink ref="B7" r:id="rId2" xr:uid="{004F61AB-CE82-45C3-8453-29264DFE93F0}"/>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BTAGUAZQAgAHQAaABlACAAXAAiAEwAXAAiACAAbQBvAGQAdQBsAGUAIAB0AGEAYgAgAGYAbwByACAAdABoAGUAIABWAGUAcgB0AGUAeAA0ADIAIABMAGEAbQBiAGQAYQAgAEwAaQBiAHIAYQByAHkAIABmAHUAbgBjAHQAaQBvAG4AcwAiAH0ALAB7ACIAcABhAHQAaAAiADoAIgAvAHAAcgBvAGoAZQBjAHQAcwAvAEwAIgAsACIAdABlAHgAdAAiADoAIgAvACoAIAAgAFYARQBSAFQARQBYADQAMgAgAEwAQQBNAEIARABBACAATABJAEIAUgBBAFIAWQBcAG4AVABoAGUAIABmAHUAbgBjAHQAaQBvAG4AcwAgAGkAbgBjAGwAdQBkAGUAZAAgAGgAZQByAGUAIABhAHIAZQAgAGYAdQBsAGwAeQAgAGQAbwBjAHUAbQBlAG4AdABlAGQAIABhAHQAIAB0AGgAZQAgAGYAbwBsAGwAbwB3AGkAbgBnACAAcwBpAHQAZQA6AFwAbgBoAHQAdABwAHMAOgAvAC8AdwB3AHcALgB2AGUAcgB0AGUAeAA0ADIALgBjAG8AbQAvAGwAYQBtAGIAZABhAC8AXABuAFwAbgBJAGYAIABpAG0AcABvAHIAdABpAG4AZwAgAHQAaABpAHMAIABHAGkAcwB0ACAAaQBuAHQAbwAgAGEAIABzAGUAcABhAHIAYQB0AGUAIABtAG8AZAB1AGwAZQAgAHYAaQBhACAAdABoAGUAIABFAHgAYwBlAGwAIABMAGEAYgBzACAAYQBkAGQALQBpAG4ALAAgAFwAbgB0AGgAZQAgAG4AYQBtAGUAIABvAGYAIAB0AGgAZQAgAG0AbwBkAHUAbABlACAAKABzAHUAYwBoACAAYQBzACAAXAAiAFYATABMAFwAIgApACAAaQBzACAAYQBkAGQAZQBkACAAdABvACAAdABoAGUAIABiAGUAZwBpAG4AbgBpAG4AZwAgAG8AZgAgAHQAaABlACAAZgB1AG4AYwB0AGkAbwBuAFwAbgBuAGEAbQBlAHMAIABpAG4AIAB0AGgAZQAgAE4AYQBtAGUAIABNAGEAbgBhAGcAZQByAC4AIABGAG8AcgAgAGUAeABhAG0AcABsAGUALAAgAFIARQBTAEMAQQBMAEUAIAB3AG8AdQBsAGQAIABiAGUAYwBvAG0AZQAgAFYATABMAC4AUgBFAFMAQwBBAEwARQBcAG4AXABuAEgAZQByAGUAIABhAHIAZQAgAGEAIABmAGUAdwAgAGUAeABhAG0AcABsAGUAcwAgAG8AZgAgAG0AbwBkAHUAbABlACAAbgBhAG0AZQBzACAAeQBvAHUAIABjAG8AdQBsAGQAIAB1AHMAZQA6ACAATAAsACAAVgBMAEwALAAgAEwASQBCACwAIABMAEwAIABcAG4AKgAvAFwAbgBcAG4ALwAqAFwAbgBNAEkAVAAgAEwAaQBjAGUAbgBzAGUAXABuAFwAbgBDAG8AcAB5AHIAaQBnAGgAdAAgACgAYwApACAAVgBlAHIAdABlAHgANAAyACAATABMAEMALAAgAGgAdAB0AHAAcwA6AC8ALwB3AHcAdwAuAHYAZQByAHQAZQB4ADQAMgAuAGMAbwBtAC8AXABuAFwAbgBQAGUAcgBtAGkAcwBzAGkAbwBuACAAaQBzACAAaABlAHIAZQBiAHkAIABnAHIAYQBuAHQAZQBkACwAIABmAHIAZQBlACAAbwBmACAAYwBoAGEAcgBnAGUALAAgAHQAbwAgAGEAbgB5ACAAcABlAHIAcwBvAG4AIABvAGIAdABhAGkAbgBpAG4AZwAgAGEAIABjAG8AcAB5AFwAbgBvAGYAIAB0AGgAaQBzACAAcwBvAGYAdAB3AGEAcgBlACAAYQBuAGQAIABhAHMAcwBvAGMAaQBhAHQAZQBkACAAZABvAGMAdQBtAGUAbgB0AGEAdABpAG8AbgAgAGYAaQBsAGUAcwAgACgAdABoAGUAIABcACIAUwBvAGYAdAB3AGEAcgBlAFwAIgApACwAIAB0AG8AIABkAGUAYQBsAFwAbgBpAG4AIAB0AGgAZQAgAFMAbwBmAHQAdwBhAHIAZQAgAHcAaQB0AGgAbwB1AHQAIAByAGUAcwB0AHIAaQBjAHQAaQBvAG4ALAAgAGkAbgBjAGwAdQBkAGkAbgBnACAAdwBpAHQAaABvAHUAdAAgAGwAaQBtAGkAdABhAHQAaQBvAG4AIAB0AGgAZQAgAHIAaQBnAGgAdABzAFwAbgB0AG8AIAB1AHMAZQAsACAAYwBvAHAAeQAsACAAbQBvAGQAaQBmAHkALAAgAG0AZQByAGcAZQAsACAAcAB1AGIAbABpAHMAaAAsACAAZABpAHMAdAByAGkAYgB1AHQAZQAsACAAcwB1AGIAbABpAGMAZQBuAHMAZQAsACAAYQBuAGQALwBvAHIAIABzAGUAbABsAFwAbgBjAG8AcABpAGUAcwAgAG8AZgAgAHQAaABlACAAUwBvAGYAdAB3AGEAcgBlACwAIABhAG4AZAAgAHQAbwAgAHAAZQByAG0AaQB0ACAAcABlAHIAcwBvAG4AcwAgAHQAbwAgAHcAaABvAG0AIAB0AGgAZQAgAFMAbwBmAHQAdwBhAHIAZQAgAGkAcwBcAG4AZgB1AHIAbgBpAHMAaABlAGQAIAB0AG8AIABkAG8AIABzAG8ALAAgAHMAdQBiAGoAZQBjAHQAIAB0AG8AIAB0AGgAZQAgAGYAbwBsAGwAbwB3AGkAbgBnACAAYwBvAG4AZABpAHQAaQBvAG4AcwA6AFwAbgBcAG4AVABoAGUAIABhAGIAbwB2AGUAIABjAG8AcAB5AHIAaQBnAGgAdAAgAG4AbwB0AGkAYwBlACAAYQBuAGQAIAB0AGgAaQBzACAAcABlAHIAbQBpAHMAcwBpAG8AbgAgAG4AbwB0AGkAYwBlACAAcwBoAGEAbABsACAAYgBlACAAaQBuAGMAbAB1AGQAZQBkACAAaQBuACAAYQBsAGwAXABuAGMAbwBwAGkAZQBzACAAbwByACAAcwB1AGIAcwB0AGEAbgB0AGkAYQBsACAAcABvAHIAdABpAG8AbgBzACAAbwBmACAAdABoAGUAIABTAG8AZgB0AHcAYQByAGUALgBcAG4AXABuAFQASABFACAAUwBPAEYAVABXAEEAUgBFACAASQBTACAAUABSAE8AVgBJAEQARQBEACAAXAAiAEEAUwAgAEkAUwBcACIALAAgAFcASQBUAEgATwBVAFQAIABXAEEAUgBSAEEATgBUAFkAIABPAEYAIABBAE4AWQAgAEsASQBOAEQALAAgAEUAWABQAFIARQBTAFMAIABPAFIAXABuAEkATQBQAEwASQBFAEQALAAgAEkATgBDAEwAVQBEAEkATgBHACAAQgBVAFQAIABOAE8AVAAgAEwASQBNAEkAVABFAEQAIABUAE8AIABUAEgARQAgAFcAQQBSAFIAQQBOAFQASQBFAFMAIABPAEYAIABNAEUAUgBDAEgAQQBOAFQAQQBCAEkATABJAFQAWQAsAFwAbgBGAEkAVABOAEUAUwBTACAARgBPAFIAIABBACAAUABBAFIAVABJAEMAVQBMAEEAUgAgAFAAVQBSAFAATwBTAEUAIABBAE4ARAAgAE4ATwBOAEkATgBGAFIASQBOAEcARQBNAEUATgBUAC4AIABJAE4AIABOAE8AIABFAFYARQBOAFQAIABTAEgAQQBMAEwAIABUAEgARQBcAG4AQQBVAFQASABPAFIAUwAgAE8AUgAgAEMATwBQAFkAUgBJAEcASABUACAASABPAEwARABFAFIAUwAgAEIARQAgAEwASQBBAEIATABFACAARgBPAFIAIABBAE4AWQAgAEMATABBAEkATQAsACAARABBAE0AQQBHAEUAUwAgAE8AUgAgAE8AVABIAEUAUgBcAG4ATABJAEEAQgBJAEwASQBUAFkALAAgAFcASABFAFQASABFAFIAIABJAE4AIABBAE4AIABBAEMAVABJAE8ATgAgAE8ARgAgAEMATwBOAFQAUgBBAEMAVAAsACAAVABPAFIAVAAgAE8AUgAgAE8AVABIAEUAUgBXAEkAUwBFACwAIABBAFIASQBTAEkATgBHACAARgBSAE8ATQAsAFwAbgBPAFUAVAAgAE8ARgAgAE8AUgAgAEkATgAgAEMATwBOAE4ARQBDAFQASQBPAE4AIABXAEkAVABIACAAVABIAEUAIABTAE8ARgBUAFcAQQBSAEUAIABPAFIAIABUAEgARQAgAFUAUwBFACAATwBSACAATwBUAEgARQBSACAARABFAEEATABJAE4ARwBTACAASQBOACAAVABIAEUAXABuAFMATwBGAFQAVwBBAFIARQAuAFwAbgAqAC8AXABuAFwAbgAvACoAIAAqACoAKgAqACoAKgAqACoAKgAqACoAKgAqACoAKgAqACoAKgAqAFwAbgAqACAARwBFAE4ARQBSAEEATAAgAEYAVQBOAEMAVABJAE8ATgBTAFwAbgAqACoAKgAqACoAKgAqACoAKgAqACoAKgAqACoAKgAqACoAKgAqACoAKgAvAFwAbgBcAG4ALwAqACoAXABuACoAIABSAG8AdQBuAGQAIABhACAAdgBhAGwAdQBlACAAdABvACAAYQAgAG4AdQBtAGIAZQByACAAbwBmACAAcwBpAGcAbgBpAGYAaQBjAGEAbgB0ACAAZgBpAGcAdQByAGUAcwBcAG4AKgAgAHIAbwB1AG4AZABfAG8AcAB0ADoAIAAwAD0AUgBPAFUATgBEACwAIAAtADEAPQBSAE8AVQBOAEQARABPAFcATgAsACAAMQA9AFIATwBVAE4ARABVAFAAXABuACoAIABTAEYAUgBPAFUATgBEACgAMQAyADMANAA1ADAAMAAsADQALAAtADEAKQAgAD0AIAAxADIAMwA0ADAAMAAwAFwAbgAqAC8AXABuAFMARgBSAE8AVQBOAEQAIAA9ACAATABBAE0AQgBEAEEAKAB2AGEAbAB1AGUALABzAGkAZwBfAGYAaQBnAHMALABbAHIAbwB1AG4AZABfAG8AcAB0AF0ALABcAG4ATABFAFQAKABkAG8AYwAsAFwAIgBoAHQAdABwAHMAOgAvAC8AdwB3AHcALgB2AGUAcgB0AGUAeAA0ADIALgBjAG8AbQAvAGwAYQBtAGIAZABhAC8AcwBmAHIAbwB1AG4AZAAuAGgAdABtAGwAXAAiACwAXABuACAAIAAgACAAcgBvAHUAbgBkAF8AbwBwAHQALABJAEYAKABJAFMATwBNAEkAVABUAEUARAAoAHIAbwB1AG4AZABfAG8AcAB0ACkALAAwACwAcgBvAHUAbgBkAF8AbwBwAHQAKQAsAFwAbgAgACAAIAAgAGUAeABwAG8AbgBlAG4AdAAsAEkATgBUACgATABPAEcAMQAwACgAQQBCAFMAKAB2AGEAbAB1AGUAKQApACkALABcAG4AIAAgACAAIAByAG8AdQBuAGQAdABvACwAcwBpAGcAXwBmAGkAZwBzAC0AKAAxACsAZQB4AHAAbwBuAGUAbgB0ACkALABcAG4AIAAgACAAIABJAEYAKAB2AGEAbAB1AGUAPQAwACwAMAAsAEkARgAoAHMAaQBnAF8AZgBpAGcAcwA8ADEALABcACIARQByAHIAbwByADoAIABzAGkAZwBfAGYAaQBnAHMAPAAxAFwAIgAsAFwAbgAgACAAIAAgACAAIAAgACAAUwBXAEkAVABDAEgAKAByAG8AdQBuAGQAXwBvAHAAdAAsAFwAbgAgACAAIAAgACAAIAAgACAAIAAgACAAIAAwACwAUgBPAFUATgBEACgAdgBhAGwAdQBlACwAcgBvAHUAbgBkAHQAbwApACwAXABuACAAIAAgACAAIAAgACAAIAAgACAAIAAgADEALABSAE8AVQBOAEQAVQBQACgAdgBhAGwAdQBlACwAcgBvAHUAbgBkAHQAbwApACwAXABuACAAIAAgACAAIAAgACAAIAAgACAAIAAgAC0AMQAsAFIATwBVAE4ARABEAE8AVwBOACgAdgBhAGwAdQBlACwAcgBvAHUAbgBkAHQAbwApACwAXABuACAAIAAgACAAIAAgACAAIAApAFwAbgAgACAAIAAgACkAKQBcAG4AKQApADsAXABuAC8AKgAqAFwAbgAqACAAUgBlAHQAdQByAG4AIABhACAAcgB1AG4AbgBpAG4AZwAgAHQAbwB0AGEAbAAgACgAYwB1AG0AdQBsAGEAdABpAHYAZQAgAHMAdQBtACkAIABvAGYAIAB2AGEAbAB1AGUAcwAgAGkAbgAgAGEAbgAgAGEAcgByAGEAeQBcAG4AKgAgAGYAbwByACAAZQBhAGMAaAAgAGMAbwBsAHUAbQBuACAAcwBlAHAAYQByAGEAdABlAGwAeQAuAFwAbgAqAC8AXABuAEMAVQBNAFUATABBAFQASQBWAEUAUwBVAE0AIAA9ACAATABBAE0AQgBEAEEAKABhAHIAcgBhAHkALABcAG4ATABFAFQAKABkAG8AYwAsAFwAIgBoAHQAdABwAHMAOgAvAC8AdwB3AHcALgB2AGUAcgB0AGUAeAA0ADIALgBjAG8AbQAvAGwAYQBtAGIAZABhAC8AYwB1AG0AdQBsAGEAdABpAHYAZQBzAHUAbQAuAGgAdABtAGwAXAAiACwAXABuACAAIAAgACAATQBBAEsARQBBAFIAUgBBAFkAKABSAE8AVwBTACgAYQByAHIAYQB5ACkALABDAE8ATABVAE0ATgBTACgAYQByAHIAYQB5ACkALABMAEEATQBCAEQAQQAoAHIALABjACwAXABuACAAIAAgACAAIAAgACAAIABTAFUATQAoAEkATgBEAEUAWAAoAGEAcgByAGEAeQAsAFMARQBRAFUARQBOAEMARQAoAHIAKQAsAGMAKQApAFwAbgAgACAAIAAgACkAKQBcAG4AKQApADsAXABuAC8AKgAqAFwAbgAqACAAQwByAGUAYQB0AGUAIABhAG4AIABTAC0AQwB1AHIAdgBlACAAZgByAG8AbQAgAFAAcgBvAGoAZQBjAHQAIABUAGEAcwBrACAARABhAHQAZQBzACAAYQBuAGQAIABWAGEAbAB1AGUAcwBcAG4AKgAvAFwAbgBTAEMAVQBSAFYARQAgAD0AIABMAEEATQBCAEQAQQAoAHMAdABhAHIAdABkAGEAdABlAHMALABlAG4AZABkAGEAdABlAHMALAB2AGEAbAB1AGUAcwAsAFsAaQBzAF8AZABhAGkAbAB5AF0ALABbAHcAZQBlAGsAZQBuAGQAXQAsAFsAaABvAGwAaQBkAGEAeQBzAF0ALABbAHAAZQByAGMAZQBuAHQAXQAsAFwAbgBMAEUAVAAoAGQAbwBjACwAXAAiAGgAdAB0AHAAcwA6AC8ALwB3AHcAdwAuAHYAZQByAHQAZQB4ADQAMgAuAGMAbwBtAC8AbABhAG0AYgBkAGEALwBzAGMAdQByAHYAZQAuAGgAdABtAGwAXAAiACwAXABuACAAIAAgACAAdwBlAGUAawBlAG4AZAAsAEkARgAoAEkAUwBPAE0ASQBUAFQARQBEACgAdwBlAGUAawBlAG4AZAApACwAXAAiADAAMAAwADAAMAAwADAAXAAiACwAdwBlAGUAawBlAG4AZAApACwAXABuACAAIAAgACAAaABvAGwAaQBkAGEAeQBzACwASQBGACgASQBTAE8ATQBJAFQAVABFAEQAKABoAG8AbABpAGQAYQB5AHMAKQAsAHsAMAB9ACwAaABvAGwAaQBkAGEAeQBzACkALABcAG4AIAAgACAAIABpAHMAXwBkAGEAaQBsAHkALABJAEYAKABJAFMATwBNAEkAVABUAEUARAAoAGkAcwBfAGQAYQBpAGwAeQApACwARgBBAEwAUwBFACwAaQBzAF8AZABhAGkAbAB5ACkALABcAG4AIAAgACAAIABwAGUAcgBjAGUAbgB0ACwASQBGACgASQBTAE8ATQBJAFQAVABFAEQAKABwAGUAcgBjAGUAbgB0ACkALABGAEEATABTAEUALABwAGUAcgBjAGUAbgB0ACkALABcAG4AIAAgACAAIAB0AGEAYgBsAGUALABIAFMAVABBAEMASwAoAHMAdABhAHIAdABkAGEAdABlAHMALABlAG4AZABkAGEAdABlAHMALAB2AGEAbAB1AGUAcwApACwAXABuACAAIAAgACAAZgB0AGEAYgBsAGUALABGAEkATABUAEUAUgAoAHQAYQBiAGwAZQAsAFwAbgAgACAAIAAgACAAIAAgACAATgBPAFQAKABJAFMAVABFAFgAVAAoAHMAdABhAHIAdABkAGEAdABlAHMAKQApACoAKABzAHQAYQByAHQAZABhAHQAZQBzAD4AMAApACoATgBPAFQAKABJAFMAVABFAFgAVAAoAGUAbgBkAGQAYQB0AGUAcwApACkAKgAoAGUAbgBkAGQAYQB0AGUAcwA+ADAAKQAqACgAZQBuAGQAZABhAHQAZQBzAD4APQBzAHQAYQByAHQAZABhAHQAZQBzACkAXABuACAAIAAgACAAKQAsAFwAbgAgACAAIAAgAHMAdABhAHIAdAAsAEMASABPAE8AUwBFAEMATwBMAFMAKABmAHQAYQBiAGwAZQAsADEAKQAsAFwAbgAgACAAIAAgAGUAbgBkACwAQwBIAE8ATwBTAEUAQwBPAEwAUwAoAGYAdABhAGIAbABlACwAMgApACwAXABuACAAIAAgACAAZABhAHkAcwAsAEIAWQBSAE8AVwAoAEgAUwBUAEEAQwBLACgAcwB0AGEAcgB0ACwAZQBuAGQAKQAsAEwAQQBNAEIARABBACgAcgBvAHcALABcAG4AIAAgACAAIAAgACAAIAAgAE4ARQBUAFcATwBSAEsARABBAFkAUwAuAEkATgBUAEwAKABDAEgATwBPAFMARQBDAE8ATABTACgAcgBvAHcALAAxACkALABDAEgATwBPAFMARQBDAE8ATABTACgAcgBvAHcALAAyACkALAB3AGUAZQBrAGUAbgBkACwAaABvAGwAaQBkAGEAeQBzACkAXABuACAAIAAgACAAKQApACwAXABuACAAIAAgACAAdgBhAGwALABDAEgATwBPAFMARQBDAE8ATABTACgAZgB0AGEAYgBsAGUALAAzACkALABcAG4AIAAgACAAIABkAGEAaQBsAHkALABJAEYAKABpAHMAXwBkAGEAaQBsAHkALAB2AGEAbAAsAHYAYQBsAC8AZABhAHkAcwApACwAXABuACAAIAAgACAAZABhAHQAZQBzACwAUwBFAFEAVQBFAE4AQwBFACgATQBBAFgAKABlAG4AZAApAC0ATQBJAE4AKABzAHQAYQByAHQAKQArADEALAAxACwATQBJAE4AKABzAHQAYQByAHQAKQAsADEAKQAsAFwAbgAgACAAIAAgAGQAYQB0AGUAXwB0AG8AdABhAGwALABCAFkAUgBPAFcAKABkAGEAdABlAHMALABMAEEATQBCAEQAQQAoAGQAYQB0AGUALABcAG4AIAAgACAAIAAgACAAIAAgAFMAVQBNAFAAUgBPAEQAVQBDAFQAKAAoAE4ARQBUAFcATwBSAEsARABBAFkAUwAuAEkATgBUAEwAKABkAGEAdABlACwAZABhAHQAZQAsAHcAZQBlAGsAZQBuAGQALABoAG8AbABpAGQAYQB5AHMAKQA9ADEAKQAqACgAcwB0AGEAcgB0ADwAPQBkAGEAdABlACkAKgAoAGQAYQB0AGUAPAA9AGUAbgBkACkAKgAoAGQAYQBpAGwAeQApACkAXABuACAAIAAgACAAKQApACwAXABuACAAIAAgACAAYwB1AG0AdQBsAGEAdABpAHYAZQAsAFMAQwBBAE4AKAAwACwAZABhAHQAZQBfAHQAbwB0AGEAbAAsAEwAQQBNAEIARABBACgAYQBjAGMALABmACwAYQBjAGMAKwBmACkAKQAsAFwAbgAgACAAIAAgAEgAUwBUAEEAQwBLACgAZABhAHQAZQBzACwAZABhAHQAZQBfAHQAbwB0AGEAbAAsAEkARgAoAHAAZQByAGMAZQBuAHQAPQBUAFIAVQBFACwAYwB1AG0AdQBsAGEAdABpAHYAZQAvAE0AQQBYACgAYwB1AG0AdQBsAGEAdABpAHYAZQApACwAYwB1AG0AdQBsAGEAdABpAHYAZQApACkAXABuACkAKQA7AFwAbgAvACoAKgBcAG4AKgAgAFUAcwBlAGQAIAB3AGkAdABoAGkAbgAgAEgAWQBQAEUAUgBMAEkATgBLACAAdABvACAAYwByAGUAYQB0AGUAIABhACAAaAB5AHAAZQByAGwAaQBuAGsAIAB0AG8AIABhACAAYwBlAGwAbAAgAGkAbgAgAHQAaABlACAAdwBvAHIAawBiAG8AbwBrAFwAbgAqAC8AXABuAEIATwBPAEsATQBBAFIASwAgAD0AIABMAEEATQBCAEQAQQAoAGMAZQBsAGwALABcAG4ATABFAFQAKABkAG8AYwAsAFwAIgBoAHQAdABwAHMAOgAvAC8AdwB3AHcALgB2AGUAcgB0AGUAeAA0ADIALgBjAG8AbQAvAGwAYQBtAGIAZABhAC8AYgBvAG8AawBtAGEAcgBrAC4AaAB0AG0AbABcACIALABcAG4AIAAgACAAIABcACIAIwBcACIAJgBBAEQARABSAEUAUwBTACgAUgBPAFcAKABjAGUAbABsACkALABDAE8ATABVAE0ATgAoAGMAZQBsAGwAKQAsADQALAAxACwAVABFAFgAVABBAEYAVABFAFIAKABDAEUATABMACgAXAAiAGYAaQBsAGUAbgBhAG0AZQBcACIALABjAGUAbABsACkALABcACIAXQBcACIAKQApAFwAbgApACkAOwBcAG4AXABuAC8AKgAgACoAKgAqACoAKgAqACoAKgAqACoAKgAqACoAKgAqACoAKgAqACoAIABcAG4AKgAgAFMARQBRAFUARQBOAEMARQBTACwAIABOAFUATQBCAEUAUgBJAE4ARwAsACAARwBSAEkARABTAFwAbgAqACAAKgAqACoAKgAqACoAKgAqACoAKgAqACoAKgAqACoAKgAqACoAKgAqAC8AXABuAFwAbgAvACoAKgBcAG4AKgAgAEMAcgBlAGEAdABlACAAYQAgAHMAZQBxAHUAZQBuAGMAZQAgAG8AZgAgAGkAbgB0AGUAZwBlAHIAcwAgAG8AcgAgAGMAaABhAHIAYQBjAHQAZQByAHMAIABiAGUAdAB3AGUAZQBuACAAcwB0AGEAcgB0ACAAYQBuAGQAIABlAG4AZABcAG4AKgAvAFwAbgBTAEUAIAA9ACAATABBAE0AQgBEAEEAKABzAHQAYQByAHQALABlAG4AZAAsAFwAbgBMAEUAVAAoAGQAbwBjACwAXAAiAGgAdAB0AHAAcwA6AC8ALwB3AHcAdwAuAHYAZQByAHQAZQB4ADQAMgAuAGMAbwBtAC8AbABhAG0AYgBkAGEALwBzAGUALgBoAHQAbQBsAFwAIgAsAFwAbgAgACAAIAAgAEkARgAoAEkAUwBOAFUATQBCAEUAUgAoAHMAdABhAHIAdAApACwAXABuACAAIAAgACAAIAAgACAAIABTAEUAUQBVAEUATgBDAEUAKABBAEIAUwAoAGUAbgBkAC0AcwB0AGEAcgB0ACkAKwAxACwAMQAsAHMAdABhAHIAdAAsAFMASQBHAE4AKABlAG4AZAAtAHMAdABhAHIAdAApACkALABcAG4AIAAgACAAIAAgACAAIAAgAFUATgBJAEMASABBAFIAKABTAEUAUQBVAEUATgBDAEUAKABBAEIAUwAoAFUATgBJAEMATwBEAEUAKABlAG4AZAApAC0AVQBOAEkAQwBPAEQARQAoAHMAdABhAHIAdAApACkAKwAxACwAMQAsAFUATgBJAEMATwBEAEUAKABzAHQAYQByAHQAKQAsAFMASQBHAE4AKABVAE4ASQBDAE8ARABFACgAZQBuAGQAKQAtAFUATgBJAEMATwBEAEUAKABzAHQAYQByAHQAKQApACkAKQBcAG4AIAAgACAAIAApAFwAbgApACkAOwBcAG4ALwAqACoAXABuACoAIABDAHIAZQBhAHQAZQAgAGEAIAB2AGUAYwB0AG8AcgAgAG8AbgAgAGkAbgB0AGUAcgB2AGEAbAAgAFsAcwB0AGEAcgB0ACwAZQBuAGQAXQAgAHcAaQB0AGgAIABuACAAbABpAG4AZQBhAHIAbAB5ACAAcwBwAGEAYwBlAGQAIABwAG8AaQBuAHQAcwBcAG4AKgAgAEwASQBOAFMAUABBAEMARQAoADIALAAzACwANQApACAAPQAgAHsAMgA7ACAAMgAuADIANQA7ACAAMgAuADUAOwAgADIALgA3ADUAOwAgADMAfQBcAG4AKgAvAFwAbgBMAEkATgBTAFAAQQBDAEUAIAA9ACAATABBAE0AQgBEAEEAKABzAHQAYQByAHQALABlAG4AZAAsAG4ALABcAG4ATABFAFQAKABkAG8AYwAsAFwAIgBoAHQAdABwAHMAOgAvAC8AdwB3AHcALgB2AGUAcgB0AGUAeAA0ADIALgBjAG8AbQAvAGwAYQBtAGIAZABhAC8AbABpAG4AcwBwAGEAYwBlAC4AaAB0AG0AbABcACIALABcAG4AIAAgACAAIABTAEUAUQBVAEUATgBDAEUAKABuACwAMQAsAHMAdABhAHIAdAAsACgAZQBuAGQALQBzAHQAYQByAHQAKQAvACgAbgAtADEAKQApAFwAbgApACkAOwBcAG4AXABuAC8AKgAqAFwAbgAqACAAQwByAGUAYQB0AGUAIABhACAAdgBlAGMAdABvAHIAIABvAG4AIABpAG4AdABlAHIAdgBhAGwAIABbADEAMABeAHMAdABhAHIAdAAsADEAMABeAGUAbgBkAF0AIAB3AGkAdABoACAAbgAgAGwAbwBnAGEAcgBpAHQAaABtAGkAYwBhAGwAbAB5ACAAcwBwAGEAYwBlAGQAIABwAG8AaQBuAHQAcwBcAG4AKgAgAEwATwBHAFMAUABBAEMARQAoADEALAAyACwANQApACAAPQAgAHsAMQAwADsAIAAxADcALgA4ADsAIAAzADEALgA2ADsAIAA1ADYALgAyADsAIAAxADAAMAB9AFwAbgAqAC8AXABuAEwATwBHAFMAUABBAEMARQAgAD0ATABBAE0AQgBEAEEAKABzAHQAYQByAHQALABlAG4AZAAsAG4ALABcAG4ATABFAFQAKABkAG8AYwAsAFwAIgBoAHQAdABwAHMAOgAvAC8AdwB3AHcALgB2AGUAcgB0AGUAeAA0ADIALgBjAG8AbQAvAGwAYQBtAGIAZABhAC8AbABvAGcAcwBwAGEAYwBlAC4AaAB0AG0AbABcACIALABcAG4AIAAgACAAIAAxADAAXgBTAEUAUQBVAEUATgBDAEUAKABuACwAMQAsAHMAdABhAHIAdAAsACgAZQBuAGQALQBzAHQAYQByAHQAKQAvACgAbgAtADEAKQApAFwAbgApACkAOwBcAG4ALwAqACoAXABuACoAIABSAGUAdAB1AHIAbgBzACAAYQBuACAAYQByAHIAYQB5ACAAdwBpAHQAaAAgAHYAYQBsAHUAZQBzACAAcgBlAHMAYwBhAGwAZQBkACAAdABvACAAWwBsAG8AdwBlAHIALAB1AHAAcABlAHIAXQBcAG4AKgAgAFIARQBTAEMAQQBMAEUAKAB7ADEALAAyACwAMwB9ACwAMAAsADEAKQAgAD0AIAB7ADAALAAgADAALgA1ACwAIAAxAH0AXABuACoALwBcAG4AUgBFAFMAQwBBAEwARQAgAD0AIABMAEEATQBCAEQAQQAoAGEAcgByAGEAeQAsAGwAbwB3AGUAcgAsAHUAcABwAGUAcgAsAFwAbgBMAEUAVAAoAGQAbwBjACwAXAAiAGgAdAB0AHAAcwA6AC8ALwB3AHcAdwAuAHYAZQByAHQAZQB4ADQAMgAuAGMAbwBtAC8AbABhAG0AYgBkAGEALwByAGUAcwBjAGEAbABlAC4AaAB0AG0AbABcACIALABcAG4AIAAgACAAIABtAGkAbgAsAE0ASQBOACgAYQByAHIAYQB5ACkALABtAGEAeAAsAE0AQQBYACgAYQByAHIAYQB5ACkALABcAG4AIAAgACAAIABsAG8AdwBlAHIAKwAoAHUAcABwAGUAcgAtAGwAbwB3AGUAcgApACoAKABhAHIAcgBhAHkALQBtAGkAbgApAC8AKABtAGEAeAAtAG0AaQBuACkAXABuACkAKQA7AFwAbgAvACoAKgBcAG4AKgAgAFIAZQB0AHUAcgBuAHMAIAB7AFQAUgBVAEUAOwBzAHQAZQBwAH0AIABpAGYAIAB0AGgAZQAgAHYAZQBjAHQAbwByACAAaQBzACAAdQBuAGkAZgBvAHIAbQBsAHkAIABzAHAAYQBjAGUAZAAgACgAYQBsAGwAIAB0AGgAZQBcAG4AKgAgAHMAdABlAHAAcwAgAGEAcgBlACAAaQBkAGUAbgB0AGkAYwBhAGwAIAB0AG8AIABhACAAcAByAGUAYwBpAHMAaQBvAG4AIABvAGYAIABuACAAZABlAGMAaQBtAGEAbAAgAHAAbABhAGMAZQBzACkAXABuACoAIABJAGYAIABGAEEATABTAEUALAAgAHIAZQB0AHUAcgBuAHMAIAB7AEYAQQBMAFMARQAsACAATQBBAFgAKABzAHQAZQBwAHMAKQAtAE0ASQBOACgAcwB0AGUAcABzACkAfQBcAG4AKgAvAFwAbgBJAFMAVQBOAEkARgBPAFIATQAgAD0AIABMAEEATQBCAEQAQQAoAHYAZQBjAHQAbwByACwAWwBwAHIAZQBjAGkAcwBpAG8AbgBfAG4AXQAsAFwAbgBMAEUAVAAoAGQAbwBjACwAXAAiAGgAdAB0AHAAcwA6AC8ALwB3AHcAdwAuAHYAZQByAHQAZQB4ADQAMgAuAGMAbwBtAC8AbABhAG0AYgBkAGEALwBpAHMAdQBuAGkAZgBvAHIAbQAuAGgAdABtAGwAXAAiACwAXABuACAAIAAgACAAcgBvAHcAcwAsAFIATwBXAFMAKAB2AGUAYwB0AG8AcgApACwAYwBvAGwAcwAsAEMATwBMAFUATQBOAFMAKAB2AGUAYwB0AG8AcgApACwAXABuACAAIAAgACAAdgBlAGMAdABvAHIALABUAEEASwBFACgASQBGACgAQQBOAEQAKABjAG8AbABzAD4AMQAsAHIAbwB3AHMAPQAxACkALABUAFIAQQBOAFMAUABPAFMARQAoAHYAZQBjAHQAbwByACkALAB2AGUAYwB0AG8AcgApACwALAAxACkALABcAG4AIAAgACAAIABzAHQAZQBwAHMALABEAFIATwBQACgAdgBlAGMAdABvAHIALAAxACkALQBEAFIATwBQACgAdgBlAGMAdABvAHIALAAtADEAKQAsAFwAbgAgACAAIAAgAHUAbgBpAHEAdQBlAF8AcwB0AGUAcABzACwAVQBOAEkAUQBVAEUAKABJAEYAKABJAFMATwBNAEkAVABUAEUARAAoAHAAcgBlAGMAaQBzAGkAbwBuAF8AbgApACwAcwB0AGUAcABzACwAUgBPAFUATgBEACgAcwB0AGUAcABzACwAcAByAGUAYwBpAHMAaQBvAG4AXwBuACkAKQApACwAXABuACAAIAAgACAASQBGACgAUgBPAFcAUwAoAHUAbgBpAHEAdQBlAF8AcwB0AGUAcABzACkAPQAxACwAXABuACAAIAAgACAAIAAgACAAIABWAFMAVABBAEMASwAoAFQAUgBVAEUALAB1AG4AaQBxAHUAZQBfAHMAdABlAHAAcwApACwAXABuACAAIAAgACAAIAAgACAAIABWAFMAVABBAEMASwAoAEYAQQBMAFMARQAsAE0AQQBYACgAdQBuAGkAcQB1AGUAXwBzAHQAZQBwAHMAKQAtAE0ASQBOACgAdQBuAGkAcQB1AGUAXwBzAHQAZQBwAHMAKQApAFwAbgAgACAAIAAgACkAXABuACkAKQA7AFwAbgAvACoAKgBcAG4AKgAgAEMAcgBlAGEAdABlAHMAIABhACAAcwBlAHQAIABvAGYAIAAyAEQAIABnAHIAaQBkACAAYwBvAG8AcgBkAGkAbgBhAHQAZQBzACAAdwBpAHQAaAAgAHgALQAgAGEAbgBkACAAeQAtAGMAbwBvAHIAZABpAG4AYQB0AGUAcwAgAGQAZQBmAGkAbgBlAGQAIABiAHkAIABcAG4AKgAgAHYAZQBjAHQAbwByAHMAIAB4ACAAYQBuAGQAIAB5AC4AIABSAGUAdAB1AHIAbgBzACAAdABoAGUAIABjAG8AbwByAGQAaQBuAGEAdABlAHMAIABhAHMAIAB0AHcAbwAgAGMAbwBsAHUAbQBuAHMAIABvAGYAIAAoAHgALAB5ACkAIABwAGEAaQByAHMALgBcAG4AKgAvAFwAbgBNAEUAUwBIAEcAUgBJAEQAIAA9ACAATABBAE0AQgBEAEEAKAB4AHYAZQBjACwAeQB2AGUAYwAsAFsAcgBlAHQAdQByAG4AXwBvAHAAdABpAG8AbgBdACwAXABuAEwARQBUACgAZABvAGMALABcACIAaAB0AHQAcABzADoALwAvAHcAdwB3AC4AdgBlAHIAdABlAHgANAAyAC4AYwBvAG0ALwBsAGEAbQBiAGQAYQAvAG0AZQBzAGgAZwByAGkAZAAuAGgAdABtAGwAXAAiACwAXABuACAAIAAgACAAeAB2AGUAYwAsAEkARgAoAEEATgBEACgAUgBPAFcAUwAoAHgAdgBlAGMAKQA9ADEALABDAE8ATABVAE0ATgBTACgAeAB2AGUAYwApAD4AMQApACwAVABSAEEATgBTAFAATwBTAEUAKAB4AHYAZQBjACkALAB4AHYAZQBjACkALABcAG4AIAAgACAAIAB5AHYAZQBjACwASQBGACgAQQBOAEQAKABSAE8AVwBTACgAeQB2AGUAYwApAD0AMQAsAEMATwBMAFUATQBOAFMAKAB5AHYAZQBjACkAPgAxACkALABUAFIAQQBOAFMAUABPAFMARQAoAHkAdgBlAGMAKQAsAHkAdgBlAGMAKQAsAFwAbgAgACAAIAAgAHgAbgAsACAAUgBPAFcAUwAoAHgAdgBlAGMAKQAsAFwAbgAgACAAIAAgAHkAbgAsACAAUgBPAFcAUwAoAHkAdgBlAGMAKQAsAFwAbgAgACAAIAAgAHgATQAsACAATQBBAEsARQBBAFIAUgBBAFkAKAB5AG4ALAB4AG4ALABMAEEATQBCAEQAQQAoAGkALABqACwASQBOAEQARQBYACgAVABSAEEATgBTAFAATwBTAEUAKAB4AHYAZQBjACkALAAxACwAagApACkAKQAsAFwAbgAgACAAIAAgAHkATQAsACAATQBBAEsARQBBAFIAUgBBAFkAKAB5AG4ALAB4AG4ALABMAEEATQBCAEQAQQAoAGkALABqACwASQBOAEQARQBYACgAeQB2AGUAYwAsAGkALAAxACkAKQApACwAXABuACAAIAAgACAASQBGACgAcgBlAHQAdQByAG4AXwBvAHAAdABpAG8AbgA9AFwAIgBYAFwAIgAsAHgATQAsAFwAbgAgACAAIAAgACAAIAAgACAASQBGACgAcgBlAHQAdQByAG4AXwBvAHAAdABpAG8AbgA9AFwAIgBZAFwAIgAsAHkATQAsAFwAbgAgACAAIAAgACAAIAAgACAAIAAgACAAIABIAFMAVABBAEMASwAoAFQATwBDAE8ATAAoAHgATQApACwAVABPAEMATwBMACgAeQBNACkAKQBcAG4AIAAgACAAIAAgACAAIAAgACkAXABuACAAIAAgACAAKQBcAG4AKQApADsAXABuAC8AKgAqAFwAbgAqACAAUgBlAHQAdQByAG4AIAB0AGgAZQAgAGYAaQByAHMAdAAgAE4AIAB2AGEAbAB1AGUAcwAgAGkAbgAgAHQAaABlACAARgBpAGIAbwBuAGEAYwBjAGkAIABTAGUAcQB1AGUAbgBjAGUAXABuACoALwBcAG4ARgBJAEIATwBOAEEAQwBDAEkAIAA9ACAATABBAE0AQgBEAEEAKABuACwAWwBzAGUAcQB1AGUAbgBjAGUAXwB0AGYAXQAsAFwAbgBJAEYAKABPAFIAKABSAE8AVwBTACgAbgApAD4AMQAsAEMATwBMAFUATQBOAFMAKABuACkAPgAxACwAbgA8ADAALABuADwAPgBJAE4AVAAoAG4AKQApACwAXAAiAEUAcgByAG8AcgA6ACAAbgAgAHMAaABvAHUAbABkACAAYgBlACAAYQBuACAAaQBuAHQAZQBnAGUAcgAgAD4AIAAwAFwAIgAsAFwAbgBMAEUAVAAoAGQAbwBjACwAXAAiAGgAdAB0AHAAcwA6AC8ALwB3AHcAdwAuAHYAZQByAHQAZQB4ADQAMgAuAGMAbwBtAC8AbABhAG0AYgBkAGEALwBmAGkAYgBvAG4AYQBjAGMAaQAuAGgAdABtAGwAXAAiACwAXABuACAAIAAgACAAcwBlAHEAdQBlAG4AYwBlAF8AdABmACwASQBGACgASQBTAEIATABBAE4ASwAoAHMAZQBxAHUAZQBuAGMAZQBfAHQAZgApACwAVABSAFUARQAsAHMAZQBxAHUAZQBuAGMAZQBfAHQAZgApACwAXABuACAAIAAgACAASQBGACgAcwBlAHEAdQBlAG4AYwBlAF8AdABmAD0AVABSAFUARQAsAFwAbgAgACAAIAAgACAAIAAgACAASQBGACgAbgA9ADEALAAwACwASQBGACgAbgA9ADIALAB7ADAAOwAxAH0ALABcAG4AIAAgACAAIAAgACAAIAAgACAAIAAgACAAUgBFAEQAVQBDAEUAKAB7ADAAOwAxAH0ALABTAEUAUQBVAEUATgBDAEUAKABuAC0AMgAsADEALAAzACwAMQApACwATABBAE0AQgBEAEEAKABhAGMAYwAsAGkALABcAG4AIAAgACAAIAAgACAAIAAgACAAIAAgACAAIAAgACAAIABWAFMAVABBAEMASwAoAGEAYwBjACwASQBOAEQARQBYACgAYQBjAGMALABpAC0AMgApACsASQBOAEQARQBYACgAYQBjAGMALABpAC0AMQApACkAXABuACAAIAAgACAAIAAgACAAIAAgACAAIAAgACkAKQBcAG4AIAAgACAAIAAgACAAIAAgACkAKQAsAFwAbgAgACAAIAAgACAAIAAgACAATABFAFQAKABcAG4AIAAgACAAIAAgACAAIAAgACAAIAAgACAAcABoAGkALAAgACgAMQArAFMAUQBSAFQAKAA1ACkAKQAvADIALABcAG4AIAAgACAAIAAgACAAIAAgACAAIAAgACAAcABzAGkALAAgACgAMQAtAFMAUQBSAFQAKAA1ACkAKQAvADIALABcAG4AIAAgACAAIAAgACAAIAAgACAAIAAgACAAKABwAGgAaQBeAG4ALQBwAHMAaQBeAG4AKQAvACgAcABoAGkALQBwAHMAaQApAFwAbgAgACAAIAAgACAAIAAgACAAKQBcAG4AIAAgACAAIAApAFwAbgApACkAKQA7AFwAbgBcAG4ALwAqACoAXABuACoAIABDAGgAZQBjAGsAIABpAGYAIABhACAAbgB1AG0AYgBlAHIAIABvAHIAIABhAHIAcgBhAHkAIABvAGYAIABuAHUAbQBiAGUAcgBzACAAaQBzACAAcAByAGkAbQBlAC4AXABuACoALwBcAG4ALwAqAFwAbgAqACAASQBuAHAAdQB0AHMAOgBcAG4AKgAgACAAIABuADoAIABBACAAcwBpAG4AZwBsAGUAIABuAHUAbQBiAGUAcgAsACAAdgBlAGMAdABvAHIALAAgAG8AcgAgAGEAcgByAGEAeQAgAG8AZgAgAG4AdQBtAGIAZQByAHMAIAB0AG8AIABjAGgAZQBjAGsAIABmAG8AcgAgAHAAcgBpAG0AYQBsAGkAdAB5AC4AXABuACoAXABuACoAIABPAHUAdABwAHUAdABzADoAXABuACoAIAAgACAAUgBlAHQAdQByAG4AcwAgAGEAIABUAFIAVQBFAC8ARgBBAEwAUwBFACAAYQByAHIAYQB5ACAAbwBmACAAdABoAGUAIABzAGEAbQBlACAAZABpAG0AZQBuAHMAaQBvAG4AcwAgAGEAcwAgAG4ALAAgAHcAaABlAHIAZQAgAFQAUgBVAEUAIABcAG4AKgAgACAAIABpAG4AZABpAGMAYQB0AGUAcwAgAHQAaABlACAAYwBvAHIAcgBlAHMAcABvAG4AZABpAG4AZwAgAG4AdQBtAGIAZQByACAAaQBzACAAcAByAGkAbQBlAC4AXABuACoAXABuACoAIABOAG8AdABlAHMAOgBcAG4AKgAgACAAIAAtACAASABhAG4AZABsAGUAcwAgAG4AbwBuAC0AbgB1AG0AZQByAGkAYwAgAGkAbgBwAHUAdABzACwAIABuAGUAZwBhAHQAaQB2AGUAIABuAHUAbQBiAGUAcgBzACwAIABhAG4AZAAgAG4AbwBuAC0AaQBuAHQAZQBnAGUAcgAgAHYAYQBsAHUAZQBzAC4AXABuACoAIAAgACAALQAgAEYAbwByACAAbgB1AG0AYgBlAHIAcwAgADwAIAAxADAAMAAwACwAIAB1AHMAZQBzACAAYQAgAHAAcgBlAGMAbwBtAHAAdQB0AGUAZAAgAGwAaQBzAHQAIABvAGYAIABwAHIAaQBtAGUAcwAgAGYAbwByACAAZgBhAHMAdABlAHIAIABlAHYAYQBsAHUAYQB0AGkAbwBuAC4AXABuACoAIAAgACAALQAgAEYAbwByACAAbgB1AG0AYgBlAHIAcwAgAGUiIAAxADAAMAAwACwAIAB1AHMAZQBzACAAZABpAHYAaQBzAG8AcgBzACAAdQBwACAAdABvACAAUwBRAFIAVAAoAG4AKQAgAHQAbwAgAGQAZQB0AGUAcgBtAGkAbgBlACAAcAByAGkAbQBhAGwAaQB0AHkALgBcAG4AKgAgACAAIAAtACAAbgAgAGwAaQBtAGkAdABlAGQAIABiAHkAIABzAGkAegBlACAAbwBmACAAYQByAHIAYQB5AHMAIABpAG4AIABFAHgAYwBlAGwALgAgAFIAZQB0AHUAcgBuAHMAIAAjAE4AVQBNACEAIAB3AGgAZQBuACAAbgAgAGkAcwAgAHQAbwBvACAAbABhAHIAZwBlAC4AXABuACoALwBcAG4ASQBTAFAAUgBJAE0ARQAgAD0AIABMAEEATQBCAEQAQQAoAG4ALABcAG4ATABFAFQAKABkAG8AYwAsACAAXAAiAGgAdAB0AHAAcwA6AC8ALwB3AD0AdwB3AC4AdgBlAHIAdABlAHgANAAyAC4AYwBvAG0ALwBsAGEAbQBiAGQAYQAvAGkAcwBwAHIAaQBtAGUALgBoAHQAbQBsAFwAIgAsAFwAbgAgACAAIAAgAHYAZQByAHMAaQBvAG4ALABcACIAMQAvADEANgAvADIAMAAyADUAIAAtACAAVQBwAGQAYQB0AGUAZAAgAHQAbwAgAGEAYwBjAG8AdQBuAHQAIABmAG8AcgAgAG0AYQB4ACAAbgBcACIALABcAG4AIAAgACAAIAAvAC8AIABTAHQAZQBwACAAMQA6ACAATABpAHMAdAAgAG8AZgAgAHAAcgBpAG0AZQBzACAAYgBlAGwAbwB3ACAAMQAwADAAMAAgAGYAbwByACAAZgBhAHMAdAAgAGMAaABlAGMAawBzAC4AXABuACAAIAAgACAAcAByAGkAbQBlAHMALAB7ADIAOwAzADsANQA7ADcAOwAxADEAOwAxADMAOwAxADcAOwAxADkAOwAyADMAOwAyADkAOwAzADEAOwAzADcAOwA0ADEAOwA0ADMAOwA0ADcAOwA1ADMAOwA1ADkAOwA2ADEAOwA2ADcAOwA3ADEAOwA3ADMAOwA3ADkAOwA4ADMAOwA4ADkAOwBcAG4AIAAgACAAIAA5ADcAOwAxADAAMQA7ADEAMAAzADsAMQAwADcAOwAxADAAOQA7ADEAMQAzADsAMQAyADcAOwAxADMAMQA7ADEAMwA3ADsAMQAzADkAOwAxADQAOQA7ADEANQAxADsAMQA1ADcAOwAxADYAMwA7ADEANgA3ADsAMQA3ADMAOwAxADcAOQA7ADEAOAAxADsAMQA5ADEAOwBcAG4AIAAgACAAIAAxADkAMwA7ADEAOQA3ADsAMQA5ADkAOwAyADEAMQA7ADIAMgAzADsAMgAyADcAOwAyADIAOQA7ADIAMwAzADsAMgAzADkAOwAyADQAMQA7ADIANQAxADsAMgA1ADcAOwAyADYAMwA7ADIANgA5ADsAMgA3ADEAOwAyADcANwA7ADIAOAAxADsAMgA4ADMAOwAyADkAMwA7AFwAbgAgACAAIAAgADMAMAA3ADsAMwAxADEAOwAzADEAMwA7ADMAMQA3ADsAMwAzADEAOwAzADMANwA7ADMANAA3ADsAMwA0ADkAOwAzADUAMwA7ADMANQA5ADsAMwA2ADcAOwAzADcAMwA7ADMANwA5ADsAMwA4ADMAOwAzADgAOQA7ADMAOQA3ADsANAAwADEAOwA0ADAAOQA7ADQAMQA5ADsAXABuACAAIAAgACAANAAyADEAOwA0ADMAMQA7ADQAMwAzADsANAAzADkAOwA0ADQAMwA7ADQANAA5ADsANAA1ADcAOwA0ADYAMQA7ADQANgAzADsANAA2ADcAOwA0ADcAOQA7ADQAOAA3ADsANAA5ADEAOwA0ADkAOQA7ADUAMAAzADsANQAwADkAOwA1ADIAMQA7ADUAMgAzADsANQA0ADEAOwBcAG4AIAAgACAAIAA1ADQANwA7ADUANQA3ADsANQA2ADMAOwA1ADYAOQA7ADUANwAxADsANQA3ADcAOwA1ADgANwA7ADUAOQAzADsANQA5ADkAOwA2ADAAMQA7ADYAMAA3ADsANgAxADMAOwA2ADEANwA7ADYAMQA5ADsANgAzADEAOwA2ADQAMQA7ADYANAAzADsANgA0ADcAOwA2ADUAMwA7AFwAbgAgACAAIAAgADYANQA5ADsANgA2ADEAOwA2ADcAMwA7ADYANwA3ADsANgA4ADMAOwA2ADkAMQA7ADcAMAAxADsANwAwADkAOwA3ADEAOQA7ADcAMgA3ADsANwAzADMAOwA3ADMAOQA7ADcANAAzADsANwA1ADEAOwA3ADUANwA7ADcANgAxADsANwA2ADkAOwA3ADcAMwA7ADcAOAA3ADsAXABuACAAIAAgACAANwA5ADcAOwA4ADAAOQA7ADgAMQAxADsAOAAyADEAOwA4ADIAMwA7ADgAMgA3ADsAOAAyADkAOwA4ADMAOQA7ADgANQAzADsAOAA1ADcAOwA4ADUAOQA7ADgANgAzADsAOAA3ADcAOwA4ADgAMQA7ADgAOAAzADsAOAA4ADcAOwA5ADAANwA7ADkAMQAxADsAOQAxADkAOwBcAG4AIAAgACAAIAA5ADIAOQA7ADkAMwA3ADsAOQA0ADEAOwA5ADQANwA7ADkANQAzADsAOQA2ADcAOwA5ADcAMQA7ADkANwA3ADsAOQA4ADMAOwA5ADkAMQA7ADkAOQA3AH0ALABcAG4AIAAgACAAIAAvAC8AIABTAHQAZQBwACAAMgA6ACAARQB2AGEAbAB1AGEAdABlACAAZQBhAGMAaAAgAG4AdQBtAGIAZQByACAAaQBuACAAdABoAGUAIABpAG4AcAB1AHQAIABhAHIAcgBhAHkALgBcAG4AIAAgACAAIABNAEEASwBFAEEAUgBSAEEAWQAoAFIATwBXAFMAKABuACkALABDAE8ATABVAE0ATgBTACgAbgApACwATABBAE0AQgBEAEEAKABpACwAagAsAFwAbgAgACAAIAAgACAAIAAgACAATABFAFQAKAB2ACwASQBOAEQARQBYACgAbgAsAGkALABqACkALABcAG4AIAAgACAAIAAgACAAIAAgACAAIAAgACAALwAvACAAUwB0AGUAcAAgADMAOgAgAEMAaABlAGMAawAgAHQAbwAgAGUAeABjAGwAdQBkAGUAIABvAGIAdgBpAG8AdQBzACAAbgBvAG4ALQBwAHIAaQBtAGUAIABjAGEAbgBkAGkAZABhAHQAZQBzAC4AXABuACAAIAAgACAAIAAgACAAIAAgACAAIAAgAEkARgAoACAATwBSACgAIABOAE8AVAAoAEkAUwBOAFUATQBCAEUAUgAoAHYAKQApACwAIAB2ADwAMgAsACAASQBOAFQAKAB2ACkAPAA+AHYALAAgAEEATgBEACgAdgA8AD4AMgAsAEkAUwBFAFYARQBOACgAdgApACkAIAApACwAXABuACAAIAAgACAAIAAgACAAIAAgACAAIAAgACAAIAAgACAARgBBAEwAUwBFACwAXABuACAAIAAgACAAIAAgACAAIAAgACAAIAAgACAAIAAgACAASQBGACgAIAB2ACAAPAAgADEAMAAwADAALABcAG4AIAAgACAAIAAgACAAIAAgACAAIAAgACAAIAAgACAAIAAgACAAIAAgAC8ALwAgAFMAdABlAHAAIAA0ADoAIABJAGYAIAB2ACAAPAAgADEAMAAwADAALAAgAGMAaABlAGMAawAgAGEAZwBhAGkAbgBzAHQAIABsAGkAcwB0ACAAIAAgACAAIAAgACAAIAAgACAAIAAgAFwAbgAgACAAIAAgACAAIAAgACAAIAAgACAAIAAgACAAIAAgACAAIAAgACAASQBTAE4AVQBNAEIARQBSACgAWABNAEEAVABDAEgAKAB2ACwAcAByAGkAbQBlAHMALAAwACkAKQAsAFwAbgAgACAAIAAgACAAIAAgACAAIAAgACAAIAAgACAAIAAgACAAIAAgACAALwAvACAAUwB0AGUAcAAgADUAOgAgAE8AdABoAGUAcgB3AGkAcwBlACwAIAB0AGUAcwB0ACAAZABpAHYAaQBzAG8AcgBzAFwAbgAgACAAIAAgACAAIAAgACAAIAAgACAAIAAgACAAIAAgACAAIAAgACAATABFAFQAKABcAG4AIAAgACAAIAAgACAAIAAgACAAIAAgACAAIAAgACAAIAAgACAAIAAgACAAIAAgACAAdABlAHMAdABfAGQAaQB2AGkAcwBvAHIAcwAsACAAVgBTAFQAQQBDAEsAKAAyACwAMwAsADUALAA3ACwAMQAxACwAMQAzACwAMQA3ACwAMQA5ACwAMgAzACwAMgA5ACwAXABuACAAIAAgACAAIAAgACAAIAAgACAAIAAgACAAIAAgACAAIAAgACAAIAAgACAAIAAgACAAIAAgACAAVABPAEMATwBMACgAUwBFAFEAVQBFAE4AQwBFACgASQBOAFQAKAAoAFMAUQBSAFQAKAB2ACkAKQAvADMAMAApACkAKgAzADAAIAArACAAXABuACAAIAAgACAAIAAgACAAIAAgACAAIAAgACAAIAAgACAAIAAgACAAIAAgACAAIAAgACAAIAAgACAAewAxACwANwAsADEAMQAsADEAMwAsADEANwAsADEAOQAsADIAMwAsADIAOQB9ACkAXABuACAAIAAgACAAIAAgACAAIAAgACAAIAAgACAAIAAgACAAIAAgACAAIAAgACAAIAAgACkALABcAG4AIAAgACAAIAAgACAAIAAgACAAIAAgACAAIAAgACAAIAAgACAAIAAgACAAIAAgACAATQBJAE4AKABNAE8ARAAoAHYALwB0AGUAcwB0AF8AZABpAHYAaQBzAG8AcgBzACwAMQApACkAPgAwAFwAbgAgACAAIAAgACAAIAAgACAAIAAgACAAIAAgACAAIAAgACAAIAAgACAAKQBcAG4AIAAgACAAIAAgACAAIAAgACAAIAAgACAAIAAgACAAIAApAFwAbgAgACAAIAAgACAAIAAgACAAIAAgACAAIAApAFwAbgAgACAAIAAgACAAIAAgACAAKQBcAG4AIAAgACAAIAApACkAXABuACkAKQA7AFwAbgBcAG4ALwAqACoAXABuACoAIABQAHIAaQBtAGUAcwAoAG4AKQAgAHIAZQB0AHUAcgBuAHMAIAB0AGgAZQAgAGYAaQByAHMAdAAgAG4AIABwAHIAaQBtAGUAIABuAHUAbQBiAGUAcgBzACAAbABlAHMAcwAgAHQAaABhAG4AIAAxADAAMAAwADAALgBcAG4AKgAgAFAAcgBpAG0AZQBzACgALAAxADAAMAAsADIAMAAwACkAIAByAGUAdAB1AHIAbgBzACAAYQBsAGwAIABwAHIAaQBtAGUAIABuAHUAbQBiAGUAcgBzACAAdwBpAHQAaABpAG4AIABbADEAMAAwACwAMgAwADAAXQAuAFwAbgAqACAAUAByAGkAbQBlAHMAKABuACwAMQAwACwANQAwACkAIAByAGUAdAB1AHIAbgBzACAAdABoAGUAIABmAGkAcgBzAHQAIABuACAAcAByAGkAbQBlAHMAIAB3AGkAdABoAGkAbgAgAFsAMQAwACwANQAwAF0AIABzAG8AcgB0AGUAZAAgAGkAbgAgAGEAcwBjAGUAbgBkAGkAbgBnACAAbwByAGQAZQByAC4AXABuACoAIABQAHIAaQBtAGUAcwAoAC0AbgAsADEAMAAsADUAMAApACAAcgBlAHQAdQByAG4AcwAgAHQAaABlACAAbABhAHMAdAAgAG4AIABwAHIAaQBtAGUAcwAgAHcAaQB0AGgAaQBuACAAWwAxADAALAA1ADAAXQAgAHMAbwByAHQAZQBkACAAaQBuACAAZABlAHMAYwBlAG4AZABpAG4AZwAgAG8AcgBkAGUAcgAuAFwAbgAqAC8AXABuAC8AKgBcAG4AKgAgAEkAbgBwAHUAdABzADoAXABuACoAIAAgACAAWwBuAF0AOgAgAE8AcAB0AGkAbwBuAGEAbAAuACAATgB1AG0AYgBlAHIAIABvAGYAIABwAHIAaQBtAGUAcwAgAHQAbwAgAHIAZQB0AHUAcgBuAC4AIABEAGUAZgBhAHUAbAB0AHMAIAB0AG8AIABhAGwAbAAgAHAAcgBpAG0AZQBzACAAdwBpAHQAaABpAG4AIAB0AGgAZQAgAHIAYQBuAGcAZQAgAFsAZwB0AGUALAAgAGwAdABlAF0ALgBcAG4AKgAgACAAIABbAGcAdABlAF0AOgAgAE8AcAB0AGkAbwBuAGEAbAAuACAATABvAHcAZQByACAAYgBvAHUAbgBkACAAbwBmACAAdABoAGUAIAByAGEAbgBnAGUALgAgAEQAZQBmAGEAdQBsAHQAcwAgAHQAbwAgADAALgBcAG4AKgAgACAAIABbAGwAdABlAF0AOgAgAE8AcAB0AGkAbwBuAGEAbAAuACAAVQBwAHAAZQByACAAYgBvAHUAbgBkACAAbwBmACAAdABoAGUAIAByAGEAbgBnAGUALgAgAEQAZQBmAGEAdQBsAHQAcwAgAHQAbwAgADEAMAAwADAAMAAuAFwAbgAqAFwAbgAqACAATwB1AHQAcAB1AHQAcwA6AFwAbgAqACAAIAAgAFIAZQB0AHUAcgBuAHMAIABhAG4AIABhAHIAcgBhAHkAIABvAGYAIABwAHIAaQBtAGUAIABuAHUAbQBiAGUAcgBzACAAYgBhAHMAZQBkACAAbwBuACAAdABoAGUAIABpAG4AcAB1AHQAIABwAGEAcgBhAG0AZQB0AGUAcgBzADoAXABuACoAIAAgACAAIAAgAC0AIABJAGYAIABuACAAaQBzACAAbwBtAGkAdAB0AGUAZAAsACAAcgBlAHQAdQByAG4AcwAgAGEAbABsACAAcAByAGkAbQBlAHMAIABpAG4AIABbAGcAdABlACwAIABsAHQAZQBdAC4AXABuACoAIAAgACAAIAAgAC0AIABJAGYAIABuACAAPgAgADAALAAgAHIAZQB0AHUAcgBuAHMAIAB0AGgAZQAgAGYAaQByAHMAdAAgAG4AIABwAHIAaQBtAGUAcwAgAGkAbgAgAGEAcwBjAGUAbgBkAGkAbgBnACAAbwByAGQAZQByAC4AXABuACoAIAAgACAAIAAgAC0AIABJAGYAIABuACAAPAAgADAALAAgAHIAZQB0AHUAcgBuAHMAIAB0AGgAZQAgAGwAYQBzAHQAIABuACAAcAByAGkAbQBlAHMAIABpAG4AIABkAGUAcwBjAGUAbgBkAGkAbgBnACAAbwByAGQAZQByAC4AXABuACoAXABuACoAIABOAG8AdABlAHMAOgBcAG4AKgAgACAAIAAtACAAUgBlAGwAaQBlAHMAIABvAG4AIAB0AGgAZQAgAHYAYQByAGkAYQBiAGwAZQAgAGAAdABoAGUAXwBhAHIAcgBhAHkAXwBvAGYAXwBwAHIAaQBtAGUAcwBfAGwAdABfADEAMAAwADAAMABgACwAIAB3AGgAaQBjAGgAIABzAGgAbwB1AGwAZAAgAGMAbwBuAHQAYQBpAG4AIABhAGwAbAAgAHAAcgBpAG0AZQBzACAAPAAgADEAMAAwADAAMAAuAFwAbgAqACAAIAAgAC0AIABVAHMAZQBzACAAdABoAGUAIABGAEkATABUAEUAUgAgAGYAdQBuAGMAdABpAG8AbgAgAHQAbwAgAG4AYQByAHIAbwB3ACAAcgBlAHMAdQBsAHQAcwAgAHQAbwAgAHQAaABlACAAcwBwAGUAYwBpAGYAaQBlAGQAIAByAGEAbgBnAGUALgBcAG4AKgAvAFwAbgBQAHIAaQBtAGUAcwAgAD0AIABMAEEATQBCAEQAQQAoAFsAbgBdACwAIABbAGcAdABlAF0ALAAgAFsAbAB0AGUAXQAsAFwAbgBMAEUAVAAoAGQAbwBjACwAIABcACIAaAB0AHQAcABzADoALwAvAHcAdwB3AC4AdgBlAHIAdABlAHgANAAyAC4AYwBvAG0ALwBsAGEAbQBiAGQAYQAvAGkAcwBwAHIAaQBtAGUALgBoAHQAbQBsAFwAIgAsAFwAbgAgACAAIAAgAHYAZQByAHMAaQBvAG4ALABcACIAMQAuADAALgAwACAAMQAvADEAMwAvADIAMAAyADUAIAAtACAATwByAGkAZwBpAG4AYQBsACAAdgBlAHIAcwBpAG8AbgBcACIALABcAG4AIAAgACAAIAAvAC8AIABTAHQAZQBwACAAMQA6ACAASABhAG4AZABsAGUAIABkAGUAZgBhAHUAbAB0ACAAdgBhAGwAdQBlAHMAIABmAG8AcgAgAG8AcAB0AGkAbwBuAGEAbAAgAHAAYQByAGEAbQBlAHQAZQByAHMALgBcAG4AIAAgACAAIABsAHQAZQAsACAASQBGACgASQBTAE8ATQBJAFQAVABFAEQAKABsAHQAZQApACwAIAAxADAAMAAwADAALAAgAGwAdABlACkALABcAG4AIAAgACAAIABnAHQAZQAsACAASQBGACgASQBTAE8ATQBJAFQAVABFAEQAKABnAHQAZQApACwAIAAwACwAIABnAHQAZQApACwAXABuACAAIAAgACAALwAvACAAUwB0AGUAcAAgADIAOgAgAEQAZQBmAGkAbgBlACAAdABoAGUAIABhAHIAcgBhAHkAIABvAGYAIABwAHIAaQBtAGUAcwAgAGEAbgBkACAAaABhAG4AZABsAGUAIABuACAAZABlAGYAYQB1AGwAdABzAC4AXABuACAAIAAgACAAYQByAHIAYQB5ACwAewAyADsAMwA7ADUAOwA3ADsAMQAxADsAMQAzADsAMQA3ADsAMQA5ADsAMgAzADsAMgA5ADsAMwAxADsAMwA3ADsANAAxADsANAAzADsANAA3ADsANQAzADsANQA5ADsANgAxADsANgA3ADsANwAxADsANwAzADsANwA5ADsAOAAzADsAOAA5ADsAOQA3ADsAMQAwADEAOwAxADAAMwA7ADEAMAA3ADsAMQAwADkAOwAxADEAMwA7ADEAMgA3ADsAMQAzADEAOwAxADMANwA7ADEAMwA5ADsAMQA0ADkAOwAxADUAMQA7ADEANQA3ADsAMQA2ADMAOwAxADYANwA7ADEANwAzADsAMQA3ADkAOwAxADgAMQA7ADEAOQAxADsAMQA5ADMAOwAxADkANwA7ADEAOQA5ADsAMgAxADEAOwAyADIAMwA7ADIAMgA3ADsAMgAyADkAOwAyADMAMwA7ADIAMwA5ADsAMgA0ADEAOwAyADUAMQA7ADIANQA3ADsAMgA2ADMAOwAyADYAOQA7ADIANwAxADsAMgA3ADcAOwAyADgAMQA7ADIAOAAzADsAMgA5ADMAOwAzADAANwA7ADMAMQAxADsAMwAxADMAOwAzADEANwA7ADMAMwAxADsAMwAzADcAOwAzADQANwA7ADMANAA5ADsAMwA1ADMAOwAzADUAOQA7ADMANgA3ADsAMwA3ADMAOwAzADcAOQA7ADMAOAAzADsAMwA4ADkAOwAzADkANwA7ADQAMAAxADsANAAwADkAOwA0ADEAOQA7ADQAMgAxADsANAAzADEAOwA0ADMAMwA7ADQAMwA5ADsANAA0ADMAOwA0ADQAOQA7ADQANQA3ADsANAA2ADEAOwA0ADYAMwA7ADQANgA3ADsANAA3ADkAOwA0ADgANwA7ADQAOQAxADsANAA5ADkAOwA1ADAAMwA7ADUAMAA5ADsANQAyADEAOwA1ADIAMwA7ADUANAAxADsANQA0ADcAOwA1ADUANwA7ADUANgAzADsANQA2ADkAOwA1ADcAMQA7ADUANwA3ADsANQA4ADcAOwA1ADkAMwA7ADUAOQA5ADsANgAwADEAOwA2ADAANwA7ADYAMQAzADsANgAxADcAOwA2ADEAOQA7ADYAMwAxADsANgA0ADEAOwA2ADQAMwA7ADYANAA3ADsANgA1ADMAOwA2ADUAOQA7ADYANgAxADsANgA3ADMAOwA2ADcANwA7ADYAOAAzADsANgA5ADEAOwA3ADAAMQA7ADcAMAA5ADsANwAxADkAOwA3ADIANwA7ADcAMwAzADsANwAzADkAOwA3ADQAMwA7ADcANQAxADsANwA1ADcAOwA3ADYAMQA7ADcANgA5ADsANwA3ADMAOwA3ADgANwA7ADcAOQA3ADsAOAAwADkAOwA4ADEAMQA7ADgAMgAxADsAOAAyADMAOwA4ADIANwA7ADgAMgA5ADsAOAAzADkAOwA4ADUAMwA7ADgANQA3ADsAOAA1ADkAOwA4ADYAMwA7ADgANwA3ADsAOAA4ADEAOwA4ADgAMwA7ADgAOAA3ADsAOQAwADcAOwA5ADEAMQA7ADkAMQA5ADsAOQAyADkAOwA5ADMANwA7ADkANAAxADsAOQA0ADcAOwA5ADUAMwA7ADkANgA3ADsAOQA3ADEAOwA5ADcANwA7ADkAOAAzADsAOQA5ADEAOwA5ADkANwA7ADEAMAAwADkAOwAxADAAMQAzADsAMQAwADEAOQA7ADEAMAAyADEAOwAxADAAMwAxADsAMQAwADMAMwA7ADEAMAAzADkAOwAxADAANAA5ADsAMQAwADUAMQA7ADEAMAA2ADEAOwAxADAANgAzADsAMQAwADYAOQA7ADEAMAA4ADcAOwAxADAAOQAxADsAMQAwADkAMwA7ADEAMAA5ADcAOwAxADEAMAAzADsAMQAxADAAOQA7ADEAMQAxADcAOwAxADEAMgAzADsAMQAxADIAOQA7ADEAMQA1ADEAOwAxADEANQAzADsAMQAxADYAMwA7ADEAMQA3ADEAOwAxADEAOAAxADsAMQAxADgANwA7ADEAMQA5ADMAOwAxADIAMAAxADsAMQAyADEAMwA7ADEAMgAxADcAOwAxADIAMgAzADsAMQAyADIAOQA7ADEAMgAzADEAOwAxADIAMwA3ADsAMQAyADQAOQA7ADEAMgA1ADkAOwAxADIANwA3ADsAMQAyADcAOQA7ADEAMgA4ADMAOwAxADIAOAA5ADsAMQAyADkAMQA7ADEAMgA5ADcAOwAxADMAMAAxADsAMQAzADAAMwA7ADEAMwAwADcAOwAxADMAMQA5ADsAMQAzADIAMQA7ADEAMwAyADcAOwAxADMANgAxADsAMQAzADYANwA7ADEAMwA3ADMAOwAxADMAOAAxADsAMQAzADkAOQA7ADEANAAwADkAOwAxADQAMgAzADsAMQA0ADIANwA7ADEANAAyADkAOwAxADQAMwAzADsAMQA0ADMAOQA7ADEANAA0ADcAOwAxADQANQAxADsAMQA0ADUAMwA7ADEANAA1ADkAOwAxADQANwAxADsAMQA0ADgAMQA7ADEANAA4ADMAOwAxADQAOAA3ADsAMQA0ADgAOQA7ADEANAA5ADMAOwAxADQAOQA5ADsAMQA1ADEAMQA7ADEANQAyADMAOwAxADUAMwAxADsAMQA1ADQAMwA7ADEANQA0ADkAOwAxADUANQAzADsAMQA1ADUAOQA7ADEANQA2ADcAOwAxADUANwAxADsAMQA1ADcAOQA7ADEANQA4ADMAOwAxADUAOQA3ADsAMQA2ADAAMQA7ADEANgAwADcAOwAxADYAMAA5ADsAMQA2ADEAMwA7ADEANgAxADkAOwAxADYAMgAxADsAMQA2ADIANwA7ADEANgAzADcAOwAxADYANQA3ADsAMQA2ADYAMwA7ADEANgA2ADcAOwAxADYANgA5ADsAMQA2ADkAMwA7ADEANgA5ADcAOwAxADYAOQA5ADsAMQA3ADAAOQA7ADEANwAyADEAOwAxADcAMgAzADsAMQA3ADMAMwA7ADEANwA0ADEAOwAxADcANAA3ADsAMQA3ADUAMwA7ADEANwA1ADkAOwAxADcANwA3ADsAMQA3ADgAMwA7ADEANwA4ADcAOwAxADcAOAA5ADsAMQA4ADAAMQA7ADEAOAAxADEAOwAxADgAMgAzADsAMQA4ADMAMQA7ADEAOAA0ADcAOwAxADgANgAxADsAMQA4ADYANwA7ADEAOAA3ADEAOwAxADgANwAzADsAMQA4ADcANwA7ADEAOAA3ADkAOwAxADgAOAA5ADsAMQA5ADAAMQA7ADEAOQAwADcAOwAxADkAMQAzADsAMQA5ADMAMQA7ADEAOQAzADMAOwAxADkANAA5ADsAMQA5ADUAMQA7ADEAOQA3ADMAOwAxADkANwA5ADsAMQA5ADgANwA7ADEAOQA5ADMAOwAxADkAOQA3ADsAMQA5ADkAOQA7ADIAMAAwADMAOwAyADAAMQAxADsAMgAwADEANwA7ADIAMAAyADcAOwAyADAAMgA5ADsAMgAwADMAOQA7ADIAMAA1ADMAOwAyADAANgAzADsAMgAwADYAOQA7ADIAMAA4ADEAOwAyADAAOAAzADsAMgAwADgANwA7ADIAMAA4ADkAOwAyADAAOQA5ADsAMgAxADEAMQA7ADIAMQAxADMAOwAyADEAMgA5ADsAMgAxADMAMQA7ADIAMQAzADcAOwAyADEANAAxADsAMgAxADQAMwA7ADIAMQA1ADMAOwAyADEANgAxADsAMgAxADcAOQA7ADIAMgAwADMAOwAyADIAMAA3ADsAMgAyADEAMwA7ADIAMgAyADEAOwAyADIAMwA3ADsAMgAyADMAOQA7ADIAMgA0ADMAOwAyADIANQAxADsAMgAyADYANwA7ADIAMgA2ADkAOwAyADIANwAzADsAMgAyADgAMQA7ADIAMgA4ADcAOwAyADIAOQAzADsAMgAyADkANwA7ADIAMwAwADkAOwAyADMAMQAxADsAMgAzADMAMwA7ADIAMwAzADkAOwAyADMANAAxADsAMgAzADQANwA7ADIAMwA1ADEAOwAyADMANQA3ADsAMgAzADcAMQA7ADIAMwA3ADcAOwAyADMAOAAxADsAMgAzADgAMwA7ADIAMwA4ADkAOwAyADMAOQAzADsAMgAzADkAOQA7ADIANAAxADEAOwAyADQAMQA3ADsAMgA0ADIAMwA7ADIANAAzADcAOwAyADQANAAxADsAMgA0ADQANwA7ADIANAA1ADkAOwAyADQANgA3ADsAMgA0ADcAMwA7ADIANAA3ADcAOwAyADUAMAAzADsAMgA1ADIAMQA7ADIANQAzADEAOwAyADUAMwA5ADsAMgA1ADQAMwA7ADIANQA0ADkAOwAyADUANQAxADsAMgA1ADUANwA7ADIANQA3ADkAOwAyADUAOQAxADsAMgA1ADkAMwA7ADIANgAwADkAOwAyADYAMQA3ADsAMgA2ADIAMQA7ADIANgAzADMAOwAyADYANAA3ADsAMgA2ADUANwA7ADIANgA1ADkAOwAyADYANgAzADsAMgA2ADcAMQA7ADIANgA3ADcAOwAyADYAOAAzADsAMgA2ADgANwA7ADIANgA4ADkAOwAyADYAOQAzADsAMgA2ADkAOQA7ADIANwAwADcAOwAyADcAMQAxADsAMgA3ADEAMwA7ADIANwAxADkAOwAyADcAMgA5ADsAMgA3ADMAMQA7ADIANwA0ADEAOwAyADcANAA5ADsAMgA3ADUAMwA7ADIANwA2ADcAOwAyADcANwA3ADsAMgA3ADgAOQA7ADIANwA5ADEAOwAyADcAOQA3ADsAMgA4ADAAMQA7ADIAOAAwADMAOwAyADgAMQA5ADsAMgA4ADMAMwA7ADIAOAAzADcAOwAyADgANAAzADsAMgA4ADUAMQA7ADIAOAA1ADcAOwAyADgANgAxADsAMgA4ADcAOQA7ADIAOAA4ADcAOwAyADgAOQA3ADsAMgA5ADAAMwA7ADIAOQAwADkAOwAyADkAMQA3ADsAMgA5ADIANwA7ADIAOQAzADkAOwAyADkANQAzADsAMgA5ADUANwA7ADIAOQA2ADMAOwAyADkANgA5ADsAMgA5ADcAMQA7ADIAOQA5ADkAOwAzADAAMAAxADsAMwAwADEAMQA7ADMAMAAxADkAOwAzADAAMgAzADsAMwAwADMANwA7ADMAMAA0ADEAOwAzADAANAA5ADsAMwAwADYAMQA7ADMAMAA2ADcAOwAzADAANwA5ADsAMwAwADgAMwA7ADMAMAA4ADkAOwAzADEAMAA5ADsAMwAxADEAOQA7ADMAMQAyADEAOwAzADEAMwA3ADsAMwAxADYAMwA7ADMAMQA2ADcAOwAzADEANgA5ADsAMwAxADgAMQA7ADMAMQA4ADcAOwAzADEAOQAxADsAMwAyADAAMwA7ADMAMgAwADkAOwAzADIAMQA3ADsAMwAyADIAMQA7ADMAMgAyADkAOwAzADIANQAxADsAMwAyADUAMwA7ADMAMgA1ADcAOwAzADIANQA5ADsAMwAyADcAMQA7ADMAMgA5ADkAOwAzADMAMAAxADsAMwAzADAANwA7ADMAMwAxADMAOwAzADMAMQA5ADsAMwAzADIAMwA7ADMAMwAyADkAOwAzADMAMwAxADsAMwAzADQAMwA7ADMAMwA0ADcAOwAzADMANQA5ADsAMwAzADYAMQA7ADMAMwA3ADEAOwAzADMANwAzADsAMwAzADgAOQA7ADMAMwA5ADEAOwAzADQAMAA3ADsAMwA0ADEAMwA7ADMANAAzADMAOwAzADQANAA5ADsAMwA0ADUANwA7ADMANAA2ADEAOwAzADQANgAzADsAMwA0ADYANwA7ADMANAA2ADkAOwAzADQAOQAxADsAMwA0ADkAOQA7ADMANQAxADEAOwAzADUAMQA3ADsAMwA1ADIANwA7ADMANQAyADkAOwAzADUAMwAzADsAMwA1ADMAOQA7ADMANQA0ADEAOwAzADUANAA3ADsAMwA1ADUANwA7ADMANQA1ADkAOwAzADUANwAxADsAMwA1ADgAMQA7ADMANQA4ADMAOwAzADUAOQAzADsAMwA2ADAANwA7ADMANgAxADMAOwAzADYAMQA3ADsAMwA2ADIAMwA7ADMANgAzADEAOwAzADYAMwA3ADsAMwA2ADQAMwA7ADMANgA1ADkAOwAzADYANwAxADsAMwA2ADcAMwA7ADMANgA3ADcAOwAzADYAOQAxADsAMwA2ADkANwA7ADMANwAwADEAOwAzADcAMAA5ADsAMwA3ADEAOQA7ADMANwAyADcAOwAzADcAMwAzADsAMwA3ADMAOQA7ADMANwA2ADEAOwAzADcANgA3ADsAMwA3ADYAOQA7ADMANwA3ADkAOwAzADcAOQAzADsAMwA3ADkANwA7ADMAOAAwADMAOwAzADgAMgAxADsAMwA4ADIAMwA7ADMAOAAzADMAOwAzADgANAA3ADsAMwA4ADUAMQA7ADMAOAA1ADMAOwAzADgANgAzADsAMwA4ADcANwA7ADMAOAA4ADEAOwAzADgAOAA5ADsAMwA5ADAANwA7ADMAOQAxADEAOwAzADkAMQA3ADsAMwA5ADEAOQA7ADMAOQAyADMAOwAzADkAMgA5ADsAMwA5ADMAMQA7ADMAOQA0ADMAOwAzADkANAA3ADsAMwA5ADYANwA7ADMAOQA4ADkAOwA0ADAAMAAxADsANAAwADAAMwA7ADQAMAAwADcAOwA0ADAAMQAzADsANAAwADEAOQA7ADQAMAAyADEAOwA0ADAAMgA3ADsANAAwADQAOQA7ADQAMAA1ADEAOwA0ADAANQA3ADsANAAwADcAMwA7ADQAMAA3ADkAOwA0ADAAOQAxADsANAAwADkAMwA7ADQAMAA5ADkAOwA0ADEAMQAxADsANAAxADIANwA7ADQAMQAyADkAOwA0ADEAMwAzADsANAAxADMAOQA7ADQAMQA1ADMAOwA0ADEANQA3ADsANAAxADUAOQA7ADQAMQA3ADcAOwA0ADIAMAAxADsANAAyADEAMQA7ADQAMgAxADcAOwA0ADIAMQA5ADsANAAyADIAOQA7ADQAMgAzADEAOwA0ADIANAAxADsANAAyADQAMwA7ADQAMgA1ADMAOwA0ADIANQA5ADsANAAyADYAMQA7ADQAMgA3ADEAOwA0ADIANwAzADsANAAyADgAMwA7ADQAMgA4ADkAOwA0ADIAOQA3ADsANAAzADIANwA7ADQAMwAzADcAOwA0ADMAMwA5ADsANAAzADQAOQA7ADQAMwA1ADcAOwA0ADMANgAzADsANAAzADcAMwA7ADQAMwA5ADEAOwA0ADMAOQA3ADsANAA0ADAAOQA7ADQANAAyADEAOwA0ADQAMgAzADsANAA0ADQAMQA7ADQANAA0ADcAOwA0ADQANQAxADsANAA0ADUANwA7ADQANAA2ADMAOwA0ADQAOAAxADsANAA0ADgAMwA7ADQANAA5ADMAOwA0ADUAMAA3ADsANAA1ADEAMwA7ADQANQAxADcAOwA0ADUAMQA5ADsANAA1ADIAMwA7ADQANQA0ADcAOwA0ADUANAA5ADsANAA1ADYAMQA7ADQANQA2ADcAOwA0ADUAOAAzADsANAA1ADkAMQA7ADQANQA5ADcAOwA0ADYAMAAzADsANAA2ADIAMQA7ADQANgAzADcAOwA0ADYAMwA5ADsANAA2ADQAMwA7ADQANgA0ADkAOwA0ADYANQAxADsANAA2ADUANwA7ADQANgA2ADMAOwA0ADYANwAzADsANAA2ADcAOQA7ADQANgA5ADEAOwA0ADcAMAAzADsANAA3ADIAMQA7ADQANwAyADMAOwA0ADcAMgA5ADsANAA3ADMAMwA7ADQANwA1ADEAOwA0ADcANQA5ADsANAA3ADgAMwA7ADQANwA4ADcAOwA0ADcAOAA5ADsANAA3ADkAMwA7ADQANwA5ADkAOwA0ADgAMAAxADsANAA4ADEAMwA7ADQAOAAxADcAOwA0ADgAMwAxADsANAA4ADYAMQA7ADQAOAA3ADEAOwA0ADgANwA3ADsANAA4ADgAOQA7ADQAOQAwADMAOwA0ADkAMAA5ADsANAA5ADEAOQA7ADQAOQAzADEAOwA0ADkAMwAzADsANAA5ADMANwA7ADQAOQA0ADMAOwA0ADkANQAxADsANAA5ADUANwA7ADQAOQA2ADcAOwA0ADkANgA5ADsANAA5ADcAMwA7ADQAOQA4ADcAOwA0ADkAOQAzADsANAA5ADkAOQA7ADUAMAAwADMAOwA1ADAAMAA5ADsANQAwADEAMQA7ADUAMAAyADEAOwA1ADAAMgAzADsANQAwADMAOQA7ADUAMAA1ADEAOwA1ADAANQA5ADsANQAwADcANwA7ADUAMAA4ADEAOwA1ADAAOAA3ADsANQAwADkAOQA7ADUAMQAwADEAOwA1ADEAMAA3ADsANQAxADEAMwA7ADUAMQAxADkAOwA1ADEANAA3ADsANQAxADUAMwA7ADUAMQA2ADcAOwA1ADEANwAxADsANQAxADcAOQA7ADUAMQA4ADkAOwA1ADEAOQA3ADsANQAyADAAOQA7ADUAMgAyADcAOwA1ADIAMwAxADsANQAyADMAMwA7ADUAMgAzADcAOwA1ADIANgAxADsANQAyADcAMwA7ADUAMgA3ADkAOwA1ADIAOAAxADsANQAyADkANwA7ADUAMwAwADMAOwA1ADMAMAA5ADsANQAzADIAMwA7ADUAMwAzADMAOwA1ADMANAA3ADsANQAzADUAMQA7ADUAMwA4ADEAOwA1ADMAOAA3ADsANQAzADkAMwA7ADUAMwA5ADkAOwA1ADQAMAA3ADsANQA0ADEAMwA7ADUANAAxADcAOwA1ADQAMQA5ADsANQA0ADMAMQA7ADUANAAzADcAOwA1ADQANAAxADsANQA0ADQAMwA7ADUANAA0ADkAOwA1ADQANwAxADsANQA0ADcANwA7ADUANAA3ADkAOwA1ADQAOAAzADsANQA1ADAAMQA7ADUANQAwADMAOwA1ADUAMAA3ADsANQA1ADEAOQA7ADUANQAyADEAOwA1ADUAMgA3ADsANQA1ADMAMQA7ADUANQA1ADcAOwA1ADUANgAzADsANQA1ADYAOQA7ADUANQA3ADMAOwA1ADUAOAAxADsANQA1ADkAMQA7ADUANgAyADMAOwA1ADYAMwA5ADsANQA2ADQAMQA7ADUANgA0ADcAOwA1ADYANQAxADsANQA2ADUAMwA7ADUANgA1ADcAOwA1ADYANQA5ADsANQA2ADYAOQA7ADUANgA4ADMAOwA1ADYAOAA5ADsANQA2ADkAMwA7ADUANwAwADEAOwA1ADcAMQAxADsANQA3ADEANwA7ADUANwAzADcAOwA1ADcANAAxADsANQA3ADQAMwA7ADUANwA0ADkAOwA1ADcANwA5ADsANQA3ADgAMwA7ADUANwA5ADEAOwA1ADgAMAAxADsANQA4ADAANwA7ADUAOAAxADMAOwA1ADgAMgAxADsANQA4ADIANwA7ADUAOAAzADkAOwA1ADgANAAzADsANQA4ADQAOQA7ADUAOAA1ADEAOwA1ADgANQA3ADsANQA4ADYAMQA7ADUAOAA2ADcAOwA1ADgANgA5ADsANQA4ADcAOQA7ADUAOAA4ADEAOwA1ADgAOQA3ADsANQA5ADAAMwA7ADUAOQAyADMAOwA1ADkAMgA3ADsANQA5ADMAOQA7ADUAOQA1ADMAOwA1ADkAOAAxADsANQA5ADgANwA7ADYAMAAwADcAOwA2ADAAMQAxADsANgAwADIAOQA7ADYAMAAzADcAOwA2ADAANAAzADsANgAwADQANwA7ADYAMAA1ADMAOwA2ADAANgA3ADsANgAwADcAMwA7ADYAMAA3ADkAOwA2ADAAOAA5ADsANgAwADkAMQA7ADYAMQAwADEAOwA2ADEAMQAzADsANgAxADIAMQA7ADYAMQAzADEAOwA2ADEAMwAzADsANgAxADQAMwA7ADYAMQA1ADEAOwA2ADEANgAzADsANgAxADcAMwA7ADYAMQA5ADcAOwA2ADEAOQA5ADsANgAyADAAMwA7ADYAMgAxADEAOwA2ADIAMQA3ADsANgAyADIAMQA7ADYAMgAyADkAOwA2ADIANAA3ADsANgAyADUANwA7ADYAMgA2ADMAOwA2ADIANgA5ADsANgAyADcAMQA7ADYAMgA3ADcAOwA2ADIAOAA3ADsANgAyADkAOQA7ADYAMwAwADEAOwA2ADMAMQAxADsANgAzADEANwA7ADYAMwAyADMAOwA2ADMAMgA5ADsANgAzADMANwA7ADYAMwA0ADMAOwA2ADMANQAzADsANgAzADUAOQA7ADYAMwA2ADEAOwA2ADMANgA3ADsANgAzADcAMwA7ADYAMwA3ADkAOwA2ADMAOAA5ADsANgAzADkANwA7ADYANAAyADEAOwA2ADQAMgA3ADsANgA0ADQAOQA7ADYANAA1ADEAOwA2ADQANgA5ADsANgA0ADcAMwA7ADYANAA4ADEAOwA2ADQAOQAxADsANgA1ADIAMQA7ADYANQAyADkAOwA2ADUANAA3ADsANgA1ADUAMQA7ADYANQA1ADMAOwA2ADUANgAzADsANgA1ADYAOQA7ADYANQA3ADEAOwA2ADUANwA3ADsANgA1ADgAMQA7ADYANQA5ADkAOwA2ADYAMAA3ADsANgA2ADEAOQA7ADYANgAzADcAOwA2ADYANQAzADsANgA2ADUAOQA7ADYANgA2ADEAOwA2ADYANwAzADsANgA2ADcAOQA7ADYANgA4ADkAOwA2ADYAOQAxADsANgA3ADAAMQA7ADYANwAwADMAOwA2ADcAMAA5ADsANgA3ADEAOQA7ADYANwAzADMAOwA2ADcAMwA3ADsANgA3ADYAMQA7ADYANwA2ADMAOwA2ADcANwA5ADsANgA3ADgAMQA7ADYANwA5ADEAOwA2ADcAOQAzADsANgA4ADAAMwA7ADYAOAAyADMAOwA2ADgAMgA3ADsANgA4ADIAOQA7ADYAOAAzADMAOwA2ADgANAAxADsANgA4ADUANwA7ADYAOAA2ADMAOwA2ADgANgA5ADsANgA4ADcAMQA7ADYAOAA4ADMAOwA2ADgAOQA5ADsANgA5ADAANwA7ADYAOQAxADEAOwA2ADkAMQA3ADsANgA5ADQANwA7ADYAOQA0ADkAOwA2ADkANQA5ADsANgA5ADYAMQA7ADYAOQA2ADcAOwA2ADkANwAxADsANgA5ADcANwA7ADYAOQA4ADMAOwA2ADkAOQAxADsANgA5ADkANwA7ADcAMAAwADEAOwA3ADAAMQAzADsANwAwADEAOQA7ADcAMAAyADcAOwA3ADAAMwA5ADsANwAwADQAMwA7ADcAMAA1ADcAOwA3ADAANgA5ADsANwAwADcAOQA7ADcAMQAwADMAOwA3ADEAMAA5ADsANwAxADIAMQA7ADcAMQAyADcAOwA3ADEAMgA5ADsANwAxADUAMQA7ADcAMQA1ADkAOwA3ADEANwA3ADsANwAxADgANwA7ADcAMQA5ADMAOwA3ADIAMAA3ADsANwAyADEAMQA7ADcAMgAxADMAOwA3ADIAMQA5ADsANwAyADIAOQA7ADcAMgAzADcAOwA3ADIANAAzADsANwAyADQANwA7ADcAMgA1ADMAOwA3ADIAOAAzADsANwAyADkANwA7ADcAMwAwADcAOwA3ADMAMAA5ADsANwAzADIAMQA7ADcAMwAzADEAOwA3ADMAMwAzADsANwAzADQAOQA7ADcAMwA1ADEAOwA3ADMANgA5ADsANwAzADkAMwA7ADcANAAxADEAOwA3ADQAMQA3ADsANwA0ADMAMwA7ADcANAA1ADEAOwA3ADQANQA3ADsANwA0ADUAOQA7ADcANAA3ADcAOwA3ADQAOAAxADsANwA0ADgANwA7ADcANAA4ADkAOwA3ADQAOQA5ADsANwA1ADAANwA7ADcANQAxADcAOwA3ADUAMgAzADsANwA1ADIAOQA7ADcANQAzADcAOwA3ADUANAAxADsANwA1ADQANwA7ADcANQA0ADkAOwA3ADUANQA5ADsANwA1ADYAMQA7ADcANQA3ADMAOwA3ADUANwA3ADsANwA1ADgAMwA7ADcANQA4ADkAOwA3ADUAOQAxADsANwA2ADAAMwA7ADcANgAwADcAOwA3ADYAMgAxADsANwA2ADMAOQA7ADcANgA0ADMAOwA3ADYANAA5ADsANwA2ADYAOQA7ADcANgA3ADMAOwA3ADYAOAAxADsANwA2ADgANwA7ADcANgA5ADEAOwA3ADYAOQA5ADsANwA3ADAAMwA7ADcANwAxADcAOwA3ADcAMgAzADsANwA3ADIANwA7ADcANwA0ADEAOwA3ADcANQAzADsANwA3ADUANwA7ADcANwA1ADkAOwA3ADcAOAA5ADsANwA3ADkAMwA7ADcAOAAxADcAOwA3ADgAMgAzADsANwA4ADIAOQA7ADcAOAA0ADEAOwA3ADgANQAzADsANwA4ADYANwA7ADcAOAA3ADMAOwA3ADgANwA3ADsANwA4ADcAOQA7ADcAOAA4ADMAOwA3ADkAMAAxADsANwA5ADAANwA7ADcAOQAxADkAOwA3ADkAMgA3ADsANwA5ADMAMwA7ADcAOQAzADcAOwA3ADkANAA5ADsANwA5ADUAMQA7ADcAOQA2ADMAOwA3ADkAOQAzADsAOAAwADAAOQA7ADgAMAAxADEAOwA4ADAAMQA3ADsAOAAwADMAOQA7ADgAMAA1ADMAOwA4ADAANQA5ADsAOAAwADYAOQA7ADgAMAA4ADEAOwA4ADAAOAA3ADsAOAAwADgAOQA7ADgAMAA5ADMAOwA4ADEAMAAxADsAOAAxADEAMQA7ADgAMQAxADcAOwA4ADEAMgAzADsAOAAxADQANwA7ADgAMQA2ADEAOwA4ADEANgA3ADsAOAAxADcAMQA7ADgAMQA3ADkAOwA4ADEAOQAxADsAOAAyADAAOQA7ADgAMgAxADkAOwA4ADIAMgAxADsAOAAyADMAMQA7ADgAMgAzADMAOwA4ADIAMwA3ADsAOAAyADQAMwA7ADgAMgA2ADMAOwA4ADIANgA5ADsAOAAyADcAMwA7ADgAMgA4ADcAOwA4ADIAOQAxADsAOAAyADkAMwA7ADgAMgA5ADcAOwA4ADMAMQAxADsAOAAzADEANwA7ADgAMwAyADkAOwA4ADMANQAzADsAOAAzADYAMwA7ADgAMwA2ADkAOwA4ADMANwA3ADsAOAAzADgANwA7ADgAMwA4ADkAOwA4ADQAMQA5ADsAOAA0ADIAMwA7ADgANAAyADkAOwA4ADQAMwAxADsAOAA0ADQAMwA7ADgANAA0ADcAOwA4ADQANgAxADsAOAA0ADYANwA7ADgANQAwADEAOwA4ADUAMQAzADsAOAA1ADIAMQA7ADgANQAyADcAOwA4ADUAMwA3ADsAOAA1ADMAOQA7ADgANQA0ADMAOwA4ADUANgAzADsAOAA1ADcAMwA7ADgANQA4ADEAOwA4ADUAOQA3ADsAOAA1ADkAOQA7ADgANgAwADkAOwA4ADYAMgAzADsAOAA2ADIANwA7ADgANgAyADkAOwA4ADYANAAxADsAOAA2ADQANwA7ADgANgA2ADMAOwA4ADYANgA5ADsAOAA2ADcANwA7ADgANgA4ADEAOwA4ADYAOAA5ADsAOAA2ADkAMwA7ADgANgA5ADkAOwA4ADcAMAA3ADsAOAA3ADEAMwA7ADgANwAxADkAOwA4ADcAMwAxADsAOAA3ADMANwA7ADgANwA0ADEAOwA4ADcANAA3ADsAOAA3ADUAMwA7ADgANwA2ADEAOwA4ADcANwA5ADsAOAA3ADgAMwA7ADgAOAAwADMAOwA4ADgAMAA3ADsAOAA4ADEAOQA7ADgAOAAyADEAOwA4ADgAMwAxADsAOAA4ADMANwA7ADgAOAAzADkAOwA4ADgANAA5ADsAOAA4ADYAMQA7ADgAOAA2ADMAOwA4ADgANgA3ADsAOAA4ADgANwA7ADgAOAA5ADMAOwA4ADkAMgAzADsAOAA5ADIAOQA7ADgAOQAzADMAOwA4ADkANAAxADsAOAA5ADUAMQA7ADgAOQA2ADMAOwA4ADkANgA5ADsAOAA5ADcAMQA7ADgAOQA5ADkAOwA5ADAAMAAxADsAOQAwADAANwA7ADkAMAAxADEAOwA5ADAAMQAzADsAOQAwADIAOQA7ADkAMAA0ADEAOwA5ADAANAAzADsAOQAwADQAOQA7ADkAMAA1ADkAOwA5ADAANgA3ADsAOQAwADkAMQA7ADkAMQAwADMAOwA5ADEAMAA5ADsAOQAxADIANwA7ADkAMQAzADMAOwA5ADEAMwA3ADsAOQAxADUAMQA7ADkAMQA1ADcAOwA5ADEANgAxADsAOQAxADcAMwA7ADkAMQA4ADEAOwA5ADEAOAA3ADsAOQAxADkAOQA7ADkAMgAwADMAOwA5ADIAMAA5ADsAOQAyADIAMQA7ADkAMgAyADcAOwA5ADIAMwA5ADsAOQAyADQAMQA7ADkAMgA1ADcAOwA5ADIANwA3ADsAOQAyADgAMQA7ADkAMgA4ADMAOwA5ADIAOQAzADsAOQAzADEAMQA7ADkAMwAxADkAOwA5ADMAMgAzADsAOQAzADMANwA7ADkAMwA0ADEAOwA5ADMANAAzADsAOQAzADQAOQA7ADkAMwA3ADEAOwA5ADMANwA3ADsAOQAzADkAMQA7ADkAMwA5ADcAOwA5ADQAMAAzADsAOQA0ADEAMwA7ADkANAAxADkAOwA5ADQAMgAxADsAOQA0ADMAMQA7ADkANAAzADMAOwA5ADQAMwA3ADsAOQA0ADMAOQA7ADkANAA2ADEAOwA5ADQANgAzADsAOQA0ADYANwA7ADkANAA3ADMAOwA5ADQANwA5ADsAOQA0ADkAMQA7ADkANAA5ADcAOwA5ADUAMQAxADsAOQA1ADIAMQA7ADkANQAzADMAOwA5ADUAMwA5ADsAOQA1ADQANwA7ADkANQA1ADEAOwA5ADUAOAA3ADsAOQA2ADAAMQA7ADkANgAxADMAOwA5ADYAMQA5ADsAOQA2ADIAMwA7ADkANgAyADkAOwA5ADYAMwAxADsAOQA2ADQAMwA7ADkANgA0ADkAOwA5ADYANgAxADsAOQA2ADcANwA7ADkANgA3ADkAOwA5ADYAOAA5ADsAOQA2ADkANwA7ADkANwAxADkAOwA5ADcAMgAxADsAOQA3ADMAMwA7ADkANwAzADkAOwA5ADcANAAzADsAOQA3ADQAOQA7ADkANwA2ADcAOwA5ADcANgA5ADsAOQA3ADgAMQA7ADkANwA4ADcAOwA5ADcAOQAxADsAOQA4ADAAMwA7ADkAOAAxADEAOwA5ADgAMQA3ADsAOQA4ADIAOQA7ADkAOAAzADMAOwA5ADgAMwA5ADsAOQA4ADUAMQA7ADkAOAA1ADcAOwA5ADgANQA5ADsAOQA4ADcAMQA7ADkAOAA4ADMAOwA5ADgAOAA3ADsAOQA5ADAAMQA7ADkAOQAwADcAOwA5ADkAMgAzADsAOQA5ADIAOQA7ADkAOQAzADEAOwA5ADkANAAxADsAOQA5ADQAOQA7ADkAOQA2ADcAOwA5ADkANwAzAH0ALABcAG4AIAAgACAAIABuACwAIABJAEYAKABJAFMATwBNAEkAVABUAEUARAAoAG4AKQAsACAAUgBPAFcAUwAoAGEAcgByAGEAeQApACwAIABuACkALABcAG4AIAAgACAAIAAvAC8AIABTAHQAZQBwACAAMwA6ACAARgBpAGwAdABlAHIAIABwAHIAaQBtAGUAcwAgAHcAaQB0AGgAaQBuACAAdABoAGUAIAByAGEAbgBnAGUAIABbAGcAdABlACwAIABsAHQAZQBdAC4AXABuACAAIAAgACAAZgBpAGwAdABlAHIAZQBkACwAIABGAEkATABUAEUAUgAoACAAYQByAHIAYQB5ACwAIABcAG4AIAAgACAAIAAgACAAIAAgADEAKgAoAGEAcgByAGEAeQAgADwAPQAgAGwAdABlACkAIAAqACAAKABhAHIAcgBhAHkAIAA+AD0AIABnAHQAZQApAFwAbgAgACAAIAAgACkALABcAG4AIAAgACAAIAAvAC8AIABTAHQAZQBwACAANAA6ACAAUgBlAHQAdQByAG4AIAB0AGgAZQAgAGYAaQByAHMAdAAgAG4AIABvAHIAIABsAGEAcwB0ACAAbgAgAHAAcgBpAG0AZQBzACAAYgBhAHMAZQBkACAAbwBuACAAdABoAGUAIABzAGkAZwBuACAAbwBmACAAbgAuAFwAbgAgACAAIAAgAEkARgAoACAAbgAgADwAIABSAE8AVwBTACgAZgBpAGwAdABlAHIAZQBkACkALABcAG4AIAAgACAAIAAgACAAIAAgAFMATwBSAFQAKAAgAFQAQQBLAEUAKABmAGkAbAB0AGUAcgBlAGQALAAgAG4ALAAgADEAKQAsACAAMQAsACAAUwBJAEcATgAoAG4AKQAqADEAIAApACwAXABuACAAIAAgACAAIAAgACAAIABmAGkAbAB0AGUAcgBlAGQAXABuACAAIAAgACAAKQBcAG4AKQApADsAXABuAFwAbgAvACoAIAAqACoAKgAqACoAKgAqACoAKgAqACoAKgAqACoAKgAqACoAKgAqACAAXABuACoAIABUAEUAWABUACAARgBPAFIATQBVAEwAQQBTAFwAbgAqACAAKgAqACoAKgAqACoAKgAqACoAKgAqACoAKgAqACoAKgAqACoAKgAqAC8AXABuAFwAbgAvACoAKgBcAG4AKgAgAFIAZQBtAG8AdgBlAHMAIABhAGwAbAAgAG8AZgAgAHQAaABlACAAYwBoAGEAcgBhAGMAdABlAHIAcwAgAGkAbgAgAGMAaABhAHIAcwAgACgAaQBuAGQAaQB2AGkAZAB1AGEAbABsAHkAKQAgAGYAcgBvAG0AIAB0AGUAeAB0AFwAbgAqAC8AXABuAFIARQBNAE8AVgBFAEMASABBAFIAUwAgAD0AIABMAEEATQBCAEQAQQAoAHQAZQB4AHQALAByAGUAbQBvAHYAZQBfAGMAaABhAHIAcwAsAFwAbgBMAEUAVAAoAGQAbwBjACwAXAAiAGgAdAB0AHAAcwA6AC8ALwB3AHcAdwAuAHYAZQByAHQAZQB4ADQAMgAuAGMAbwBtAC8AbABhAG0AYgBkAGEALwByAGUAbQBvAHYAZQBjAGgAYQByAHMALgBoAHQAbQBsAFwAIgAsAFwAbgAgACAAIAAgAFQAUgBJAE0AKABSAEUARABVAEMARQAoAHQAZQB4AHQALAAgAE0ASQBEACgAcgBlAG0AbwB2AGUAXwBjAGgAYQByAHMALABTAEUAUQBVAEUATgBDAEUAKABMAEUATgAoAHIAZQBtAG8AdgBlAF8AYwBoAGEAcgBzACkAKQAsADEAKQAsAFwAbgAgACAAIAAgACAAIAAgACAATABBAE0AQgBEAEEAKABpACwAYQAsAFMAVQBCAFMAVABJAFQAVQBUAEUAKABpACwAYQAsAFwAIgBcACIAKQApAFwAbgAgACAAIAAgACkAKQBcAG4AKQApADsAXABuAFwAbgAvACoAKgBcAG4AKgAgAEEAZABkAHMAIABhACAAcwBpAG4AZwBsAGUAIABzAHAAYQBjAGUAIABiAGUAZgBvAHIAZQAgAGUAYQBjAGgAIABjAGEAcABpAHQAYQBsACAAbABlAHQAdABlAHIAIABBACAAdABoAHIAbwB1AGcAaAAgAFoAXABuACoALwBcAG4AQQBEAEQAUwBQAEEAQwBFAEIARQBGAE8AUgBFAEMAQQBQACAAPQAgAEwAQQBNAEIARABBACgAdABlAHgAdAAsAFwAbgBMAEUAVAAoAGQAbwBjACwAXAAiAGgAdAB0AHAAcwA6AC8ALwB3AHcAdwAuAHYAZQByAHQAZQB4ADQAMgAuAGMAbwBtAC8AbABhAG0AYgBkAGEALwBhAGQAZABzAHAAYQBjAGUAYgBlAGYAbwByAGUAYwBhAHAALgBoAHQAbQBsAFwAIgAsAFwAbgAgACAAIAAgAFQAUgBJAE0AKABSAEUARABVAEMARQAoAHQAZQB4AHQALAAgAEMASABBAFIAKABTAEUAUQBVAEUATgBDAEUAKAAxACwAMgA2ACwANgA1ACkAKQAsAFwAbgAgACAAIAAgACAAIAAgACAATABBAE0AQgBEAEEAKABpACwAYQAsAFMAVQBCAFMAVABJAFQAVQBUAEUAKABpACwAYQAsAFwAIgAgAFwAIgAmAGEAKQApAFwAbgAgACAAIAAgACkAKQBcAG4AKQApADsAXABuAFwAbgAvACoAKgBcAG4AKgAgAEMAbwB1AG4AdAAgAHQAaABlACAAbgB1AG0AYgBlAHIAIABvAGYAIABpAG4AcwB0AGEAbgBjAGUAcwAgAG8AZgAgAGEAIABjAGgAYQByAGEAYwB0AGUAcgAgAG8AcgAgAHMAdAByAGkAbgBnACAAdwBpAHQAaABpAG4AIAB0AGUAeAB0AFwAbgAqAC8AXABuAEMATwBVAE4AVABDAEgAQQBSACAAPQAgAEwAQQBNAEIARABBACgAYwBoAGEAcgAsAHcAaQB0AGgAaQBuAF8AdABlAHgAdAAsAFwAbgBMAEUAVAAoAGQAbwBjACwAXAAiAGgAdAB0AHAAcwA6AC8ALwB3AHcAdwAuAHYAZQByAHQAZQB4ADQAMgAuAGMAbwBtAC8AbABhAG0AYgBkAGEALwBjAG8AdQBuAHQAYwBoAGEAcgAuAGgAdABtAGwAXAAiACwAXABuACAAIAAgACAAKABMAEUATgAoAHcAaQB0AGgAaQBuAF8AdABlAHgAdAApAC0ATABFAE4AKABTAFUAQgBTAFQASQBUAFUAVABFACgAdwBpAHQAaABpAG4AXwB0AGUAeAB0ACwAYwBoAGEAcgAsAFwAIgBcACIAKQApACkAIAAvACAATABFAE4AKABjAGgAYQByACkAXABuACkAKQA7AFwAbgAvACoAKgBcAG4AKgAgAEMAbwBuAHYAZQByAHQAcwAgAGEAIAB0AGUAeAB0ACAAcwB0AHIAaQBuAGcAIAB0AG8AIABhACAAcgBvAHcAIAAoAGQAaQBtAD0AMQAsACAAZABlAGYAYQB1AGwAdAApACAAbwByACAAYwBvAGwAdQBtAG4AIAAoAGQAaQBtAD0AMgApACAAbwBmACAAYwBoAGEAcgBhAGMAdABlAHIAcwBcAG4AKgAvAFwAbgBUAEUAWABUADIAQQBSAFIAQQBZACAAPQAgAEwAQQBNAEIARABBACgAdABlAHgAdAAsAFsAZABpAG0AXQAsAFwAbgBMAEUAVAAoAGQAbwBjACwAXAAiAGgAdAB0AHAAcwA6AC8ALwB3AHcAdwAuAHYAZQByAHQAZQB4ADQAMgAuAGMAbwBtAC8AbABhAG0AYgBkAGEALwB0AGUAeAB0ADIAYQByAHIAYQB5AC4AaAB0AG0AbABcACIALABcAG4AIAAgACAAIABkAGkAbQAsAEkARgAoAEkAUwBPAE0ASQBUAFQARQBEACgAZABpAG0AKQAsADEALABkAGkAbQApACwAXABuACAAIAAgACAAdABlAHgAdABfAGEAcgByAGEAeQAsAEkARgAoAEMATwBMAFUATQBOAFMAKAB0AGUAeAB0ACkAPgAxACwAVABSAEEATgBTAFAATwBTAEUAKAB0AGUAeAB0ACkALAB0AGUAeAB0ACkALABcAG4AIAAgACAAIAByAGUAcwB1AGwAdAAsAFIARQBEAFUAQwBFACgAXAAiAFwAIgAsAFMARQBRAFUARQBOAEMARQAoAFIATwBXAFMAKAB0AGUAeAB0AF8AYQByAHIAYQB5ACkAKQAsAEwAQQBNAEIARABBACgAYQBjAGMALABpACwAXABuACAAIAAgACAAIAAgACAAIABMAEUAVAAoAGMAZQBsAGwALABJAE4ARABFAFgAKAB0AGUAeAB0AF8AYQByAHIAYQB5ACwAaQAsADEAKQAsAFwAbgAgACAAIAAgACAAIAAgACAAIAAgACAAIAAvAC8AcwBwAGwAaQB0AEEAcgByAGEAeQAsAEkARgAoAGMAZQBsAGwAPQBcACIAXAAiACwAXAAiAFwAIgAsAE0ASQBEACgAYwBlAGwAbAAsAFMARQBRAFUARQBOAEMARQAoADEALABMAEUATgAoAGMAZQBsAGwAKQApACwAMQApACkALABcAG4AIAAgACAAIAAgACAAIAAgACAAIAAgACAAcwBwAGwAaQB0AEEAcgByAGEAeQAsAEkARgAoAGMAZQBsAGwAPQBcACIAXAAiACwAXAAiAFwAIgAsAFIARQBHAEUAWABFAFgAVABSAEEAQwBUACgAYwBlAGwAbAAsAFwAIgAuAFwAIgAsADEAKQApACwAXABuACAAIAAgACAAIAAgACAAIAAgACAAIAAgAEkARgAoAGkAPQAxACwAcwBwAGwAaQB0AEEAcgByAGEAeQAsAFYAUwBUAEEAQwBLACgAYQBjAGMALABzAHAAbABpAHQAQQByAHIAYQB5ACkAKQBcAG4AIAAgACAAIAAgACAAIAAgACkAXABuACAAIAAgACAAKQApACwAXABuACAAIAAgACAAYwBsAGUAYQBuAGUAZAAsAE0AQQBQACgAcgBlAHMAdQBsAHQALABMAEEATQBCAEQAQQAoAF8AdgAsAEkARgAoAEkAUwBOAEEAKABfAHYAKQAsAFwAIgBcACIALABfAHYAKQApACkALABcAG4AIAAgACAAIABJAEYAKABkAGkAbQA9ADIALABUAFIAQQBOAFMAUABPAFMARQAoAGMAbABlAGEAbgBlAGQAKQAsAGMAbABlAGEAbgBlAGQAKQBcAG4AKQApADsAXABuAC8AKgAqAFwAbgAqACAAQwBvAG4AdgBlAHIAdABzACAAYQAgAFIAbwBtAGEAbgAgAG4AdQBtAGUAcgBhAGwAIAB0AG8AIABpAHQAcwAgAGkAbgB0AGUAZwBlAHIAIAB2AGEAbAB1AGUAOgAgAEkAVgAgAD0AIAA0ACwAIABYAEkASQAgAD0AIAAxADIALAAgAGUAdABjAC4AXABuACoALwBcAG4AUgBPAE0AQQBOADIASQBOAFQAIAA9ACAATABBAE0AQgBEAEEAKAB0AGUAeAB0ACwAXABuAEwARQBUACgAZABvAGMALABcACIAaAB0AHQAcABzADoALwAvAHcAdwB3AC4AdgBlAHIAdABlAHgANAAyAC4AYwBvAG0ALwBsAGEAbQBiAGQAYQAvAHIAbwBtAGEAbgAyAGkAbgB0AC4AaAB0AG0AbABcACIALABcAG4AIAAgACAAIABNAEEAUAAoAHQAZQB4AHQALABMAEEATQBCAEQAQQAoAGMAZQBsAGwALABMAEUAVAAoAFwAbgAgACAAIAAgACAAIAAgACAAcwB0AHIAYQByAHIAYQB5ACwAVABSAEEATgBTAFAATwBTAEUAKABNAEkARAAoAFUAUABQAEUAUgAoAGMAZQBsAGwAKQAsAFMARQBRAFUARQBOAEMARQAoAEwARQBOACgAYwBlAGwAbAApACwAMQApACwAMQApACkALABcAG4AIAAgACAAIAAgACAAIAAgAHIAbwBtAGEAbgBfAGMAaABhAHIALAB7AFwAIgBJAFwAIgAsAFwAIgBWAFwAIgAsAFwAIgBYAFwAIgAsAFwAIgBMAFwAIgAsAFwAIgBDAFwAIgAsAFwAIgBEAFwAIgAsAFwAIgBNAFwAIgB9ACwAXABuACAAIAAgACAAIAAgACAAIAB2AGEAbAB1AGUAcwAsAHsAMQAsADUALAAxADAALAA1ADAALAAxADAAMAAsADUAMAAwACwAMQAwADAAMAB9ACwAXABuACAAIAAgACAAIAAgACAAIABzAHQAcgB2AGEAbAB1AGUAcwAsAFgATABPAE8ASwBVAFAAKABzAHQAcgBhAHIAcgBhAHkALAByAG8AbQBhAG4AXwBjAGgAYQByACwAdgBhAGwAdQBlAHMALABcACIAIwBFAHIAcgBvAHIAOgAgAEkAbgB2AGEAbABpAGQAIABSAG8AbQBhAG4AIABOAHUAbQBlAHIAYQBsAFwAIgApACwAXABuACAAIAAgACAAIAAgACAAIABJAEYAKABMAEUATgAoAGMAZQBsAGwAKQA9ADEALABzAHQAcgB2AGEAbAB1AGUAcwAsAFwAbgAgACAAIAAgACAAIAAgACAAIAAgACAAIABTAFUATQAoAHMAdAByAHYAYQBsAHUAZQBzACoASABTAFQAQQBDAEsAKAAyACoAKABEAFIATwBQACgAcwB0AHIAdgBhAGwAdQBlAHMALAAsADEAKQA8AD0ARABSAE8AUAAoAHMAdAByAHYAYQBsAHUAZQBzACwALAAtADEAKQApAC0AMQAsADEAKQBcAG4AIAAgACAAIAAgACAAIAAgACkAXABuACAAIAAgACAAKQApACkAKQBcAG4AKQApADsAXABuAFwAbgBcAG4ALwAqACAAKgAqACoAKgAqACoAKgAqACoAKgAqACoAKgAqACoAKgBcAG4AKgAgAEEAUgBSAEEAWQAgAEYATwBSAE0AVQBMAEEAUwBcAG4AKgAqACoAKgAqACoAKgAqACoAKgAqACoAKgAqACoAKgAqACoAKgAgACoALwBcAG4AXABuAC8AKgAqAFwAbgAqACAAUgBlAHYAZQByAHMAZQBzACAAdABoAGUAIABvAHIAZABlAHIAIABvAGYAIAB0AGgAZQAgAHIAbwB3AHMAIABvAGYAIABhAG4AIABhAHIAcgBhAHkALAAgAHUAbgBsAGUAcwBzACAAaQB0ACAAaQBzACAAYQAgAHMAaQBuAGcAbABlACAAcgBvAHcAIABvAHIAIABcAG4AKgAgAGQAaQBtAGUAbgBzAGkAbwBuAD0AMgAsACAAdABoAGUAbgAgAHIAZQB2AGUAcgBzAGUAcwAgAHQAaABlACAAYwBvAGwAdQBtAG4AcwBcAG4AKgAvAFwAbgBGAEwASQBQACAAPQAgAEwAQQBNAEIARABBACgAYQByAHIAYQB5ACwAWwBkAGkAbQBlAG4AcwBpAG8AbgBdACwAXABuAEwARQBUACgAZABvAGMALABcACIAaAB0AHQAcABzADoALwAvAHcAdwB3AC4AdgBlAHIAdABlAHgANAAyAC4AYwBvAG0ALwBsAGEAbQBiAGQAYQAvAGYAbABpAHAALgBoAHQAbQBsAFwAIgAsAFwAbgAgACAAIAAgAGQAaQBtAGUAbgBzAGkAbwBuACwASQBGACgASQBTAE8ATQBJAFQAVABFAEQAKABkAGkAbQBlAG4AcwBpAG8AbgApACwAMQAsAGQAaQBtAGUAbgBzAGkAbwBuACkALABcAG4AIAAgACAAIAByAG8AdwBzACwAUgBPAFcAUwAoAGEAcgByAGEAeQApACwAXABuACAAIAAgACAAYwBvAGwAcwAsAEMATwBMAFUATQBOAFMAKABhAHIAcgBhAHkAKQAsAFwAbgAgACAAIAAgAEkARgAoAE8AUgAoAGQAaQBtAGUAbgBzAGkAbwBuAD0AMgAsAHIAbwB3AHMAPQAxACkALABcAG4AIAAgACAAIAAgACAAIAAgAEMASABPAE8AUwBFAEMATwBMAFMAKABhAHIAcgBhAHkALABTAEUAUQBVAEUATgBDAEUAKAAxACwAYwBvAGwAcwAsAGMAbwBsAHMALAAtADEAKQApACwAXABuACAAIAAgACAAIAAgACAAIABDAEgATwBPAFMARQBSAE8AVwBTACgAYQByAHIAYQB5ACwAUwBFAFEAVQBFAE4AQwBFACgAcgBvAHcAcwAsADEALAByAG8AdwBzACwALQAxACkAKQBcAG4AIAAgACAAIAApAFwAbgApACkAOwBcAG4ALwAqACoAXABuACoAIABSAGUAdgBlAHIAcwBlAHMAIAB0AGgAZQAgAG8AcgBkAGUAcgAgAG8AZgAgAHQAaABlACAAYwBvAGwAdQBtAG4AcwAgAG8AZgAgAGEAbgAgAGEAcgByAGEAeQBcAG4AKgAvAFwAbgBGAEwASQBQAEwAUgAgAD0AIABMAEEATQBCAEQAQQAoAGEAcgByAGEAeQAsAFwAbgBMAEUAVAAoAGQAbwBjACwAXAAiAGgAdAB0AHAAcwA6AC8ALwB3AHcAdwAuAHYAZQByAHQAZQB4ADQAMgAuAGMAbwBtAC8AbABhAG0AYgBkAGEALwBmAGwAaQBwAC4AaAB0AG0AbABcACIALABcAG4AIAAgACAAIABjAG8AbABzACwAQwBPAEwAVQBNAE4AUwAoAGEAcgByAGEAeQApACwAXABuACAAIAAgACAAQwBIAE8ATwBTAEUAQwBPAEwAUwAoAGEAcgByAGEAeQAsAFMARQBRAFUARQBOAEMARQAoADEALABjAG8AbABzACwAYwBvAGwAcwAsAC0AMQApACkAXABuACkAKQA7AFwAbgAvACoAKgBcAG4AKgAgAFIAZQB2AGUAcgBzAGUAcwAgAHQAaABlACAAbwByAGQAZQByACAAbwBmACAAdABoAGUAIAByAG8AdwBzACAAbwBmACAAYQBuACAAYQByAHIAYQB5AFwAbgAqAC8AXABuAEYATABJAFAAVQBEACAAPQAgAEwAQQBNAEIARABBACgAYQByAHIAYQB5ACwAXABuAEwARQBUACgAZABvAGMALABcACIAaAB0AHQAcABzADoALwAvAHcAdwB3AC4AdgBlAHIAdABlAHgANAAyAC4AYwBvAG0ALwBsAGEAbQBiAGQAYQAvAGYAbABpAHAALgBoAHQAbQBsAFwAIgAsAFwAbgAgACAAIAAgAHIAbwB3AHMALABSAE8AVwBTACgAYQByAHIAYQB5ACkALABcAG4AIAAgACAAIABDAEgATwBPAFMARQBSAE8AVwBTACgAYQByAHIAYQB5ACwAUwBFAFEAVQBFAE4AQwBFACgAcgBvAHcAcwAsADEALAByAG8AdwBzACwALQAxACkAKQBcAG4AKQApADsAXABuAC8AKgAqAFwAbgAqACAAUgBvAHQAYQB0AGUAIABhAG4AIABhAHIAcgBhAHkAIAA5ADAAIABkAGUAZwByAGUAZQBzACAAYwBvAHUAbgB0AGUAcgBjAGwAbwBjAGsAdwBpAHMAZQAgAG4AIAB0AGkAbQBlAHMAXABuACoALwBcAG4AUgBPAFQAXwA5ADAAIAA9ACAATABBAE0AQgBEAEEAKABhAHIAcgBhAHkALABbAG4AXQAsAFwAbgBMAEUAVAAoAGQAbwBjACwAXAAiAGgAdAB0AHAAcwA6AC8ALwB3AHcAdwAuAHYAZQByAHQAZQB4ADQAMgAuAGMAbwBtAC8AbABhAG0AYgBkAGEALwByAG8AdAA5ADAALgBoAHQAbQBsAFwAIgAsAFwAbgAgACAAIAAgAHIAOQBGAGwAaQBwACwATABBAE0AQgBEAEEAKABhAHIAcgAsAGQAaQBtACwAXABuACAAIAAgACAAIAAgACAAIABJAEYAKABkAGkAbQA9ADIALABcAG4AIAAgACAAIAAgACAAIAAgACAAIAAgACAAQwBIAE8ATwBTAEUAQwBPAEwAUwAoAGEAcgByACwAUwBFAFEAVQBFAE4AQwBFACgAMQAsAEMATwBMAFUATQBOAFMAKABhAHIAcgApACwAQwBPAEwAVQBNAE4AUwAoAGEAcgByACkALAAtADEAKQApACwAXABuACAAIAAgACAAIAAgACAAIAAgACAAIAAgAEMASABPAE8AUwBFAFIATwBXAFMAKABhAHIAcgAsAFMARQBRAFUARQBOAEMARQAoAFIATwBXAFMAKABhAHIAcgApACwAMQAsAFIATwBXAFMAKABhAHIAcgApACwALQAxACkAKQBcAG4AIAAgACAAIAAgACAAIAAgACkAXABuACAAIAAgACAAKQAsAFwAbgAgACAAIAAgAEkARgAoAEkAUwBPAE0ASQBUAFQARQBEACgAbgApACwAXABuACAAIAAgACAAIAAgACAAIAByADkARgBsAGkAcAAoAFQAUgBBAE4AUwBQAE8AUwBFACgAYQByAHIAYQB5ACkALAAxACkALABcAG4AIAAgACAAIAAgACAAIAAgAEMASABPAE8AUwBFACgAMQArAE0ATwBEACgASQBOAFQAKABuACkALQAxACwANAApACwAXABuACAAIAAgACAAIAAgACAAIAAgACAAIAAgAHIAOQBGAGwAaQBwACgAVABSAEEATgBTAFAATwBTAEUAKABhAHIAcgBhAHkAKQAsADEAKQAsAFwAbgAgACAAIAAgACAAIAAgACAAIAAgACAAIAByADkARgBsAGkAcAAoAHIAOQBGAGwAaQBwACgAYQByAHIAYQB5ACwAMgApACwAMQApACwAXABuACAAIAAgACAAIAAgACAAIAAgACAAIAAgAHIAOQBGAGwAaQBwACgAVABSAEEATgBTAFAATwBTAEUAKABhAHIAcgBhAHkAKQAsADIAKQAsAFwAbgAgACAAIAAgACAAIAAgACAAIAAgACAAIABhAHIAcgBhAHkAXABuACAAIAAgACAAIAAgACAAIAApAFwAbgAgACAAIAAgACkAXABuACkAKQA7AFwAbgAvACoAKgBcAG4AKgAgAFMAaABpAGYAdAAgAHQAaABlACAAcgBvAHcAcwAgACgAZABpAG0APQAxACkAIABvAHIAIABjAG8AbAB1AG0AbgBzACAAKABkAGkAbQA9ADIAKQAgAG8AZgAgAGEAbgAgAGEAcgByAGEAeQAgAGMAaQByAGMAdQBsAGEAcgBsAHkAIABuACAAdABpAG0AZQBzAC4AXABuACoALwBcAG4AQwBJAFIAQwBTAEgASQBGAFQAIAA9ACAATABBAE0AQgBEAEEAKABhAHIAcgBhAHkALABuACwAWwBkAGkAbQBlAG4AcwBpAG8AbgBdACwAXABuAEwARQBUACgAZABvAGMALABcACIAaAB0AHQAcABzADoALwAvAHcAdwB3AC4AdgBlAHIAdABlAHgANAAyAC4AYwBvAG0ALwBsAGEAbQBiAGQAYQAvAGMAaQByAGMAcwBoAGkAZgB0AC4AaAB0AG0AbABcACIALABcAG4AIAAgACAAIAByAG8AdwBzACwAUgBPAFcAUwAoAGEAcgByAGEAeQApACwAYwBvAGwAcwAsAEMATwBMAFUATQBOAFMAKABhAHIAcgBhAHkAKQAsAFwAbgAgACAAIAAgAGIAeQBfAGMAbwBsACwAZABpAG0AZQBuAHMAaQBvAG4APQAyACwAXABuACAAIAAgACAAZABpAG0ALABJAEYAKABiAHkAXwBjAG8AbAAsAGMAbwBsAHMALAByAG8AdwBzACkALABcAG4AIAAgACAAIABtACwASQBGACgAYgB5AF8AYwBvAGwALAAxACsATQBPAEQAKABJAE4AVAAoAG4AKQAtADEALABjAG8AbABzACkALAAxACsATQBPAEQAKABJAE4AVAAoAG4AKQAtADEALAByAG8AdwBzACkAKQAsAFwAbgAgACAAIAAgAGkAbgBkAGkAYwBlAHMALABWAFMAVABBAEMASwAoAFMARQBRAFUARQBOAEMARQAoAG0ALAAxACwAZABpAG0ALQBtACsAMQApACwAUwBFAFEAVQBFAE4AQwBFACgAZABpAG0ALQBtACwAMQApACkALABcAG4AIAAgACAAIABJAEYAKABkAGkAbQA9AG0ALABhAHIAcgBhAHkALABcAG4AIAAgACAAIAAgACAAIAAgAEkARgAoAGIAeQBfAGMAbwBsACwAXABuACAAIAAgACAAIAAgACAAIAAgACAAIAAgAEMASABPAE8AUwBFAEMATwBMAFMAKABhAHIAcgBhAHkALABpAG4AZABpAGMAZQBzACkALABcAG4AIAAgACAAIAAgACAAIAAgACAAIAAgACAAQwBIAE8ATwBTAEUAUgBPAFcAUwAoAGEAcgByAGEAeQAsAGkAbgBkAGkAYwBlAHMAKQBcAG4AIAAgACAAIAAgACAAIAAgACkAXABuACAAIAAgACAAKQBcAG4AKQApADsAXABuAC8AKgAqAFwAbgAqACAAUgBlAHAAZQBhAHQAIABhAG4AIABhAHIAcgBhAHkAIABtACAAdABpAG0AZQBzACAAdgBlAHIAdABpAGMAYQBsAGwAeQAgAGEAbgBkACAAbgAgAHQAaQBtAGUAcwAgAGgAbwByAGkAegBvAG4AdABhAGwAbAB5AFwAbgAqAC8AXABuAC8AKgBcAG4AKgAgAEkAbgBwAHUAdABzADoAXABuACoAIAAgACAAYQByAHIAYQB5ADoAIABUAGgAZQAgAGkAbgBwAHUAdAAgAGEAcgByAGEAeQAgAG8AcgAgAHIAYQBuAGcAZQAgAHQAbwAgAHIAZQBwAGUAYQB0AC4AXABuACoAIAAgACAAWwBtAF8AdgBlAHIAdABdADoAIAAoAE8AcAB0AGkAbwBuAGEAbAAsACAARABlAGYAYQB1AGwAdAA9ADEAKQAgAFQAaABlACAAbgB1AG0AYgBlAHIAIABvAGYAIAB0AGkAbQBlAHMAIAB0AG8AIAByAGUAcABlAGEAdAAgAHQAaABlACAAYQByAHIAYQB5ACAAdgBlAHIAdABpAGMAYQBsAGwAeQAuAFwAbgAqACAAIAAgAFsAbgBfAGgAbwByAGkAegBdADoAIAAoAE8AcAB0AGkAbwBuAGEAbAAsACAARABlAGYAYQB1AGwAdAA9ADEAKQAgAFQAaABlACAAbgB1AG0AYgBlAHIAIABvAGYAIAB0AGkAbQBlAHMAIAB0AG8AIAByAGUAcABlAGEAdAAgAHQAaABlACAAYQByAHIAYQB5ACAAaABvAHIAaQB6AG8AbgB0AGEAbABsAHkALgBcAG4AKgBcAG4AKgAgAE8AdQB0AHAAdQB0AHMAOgBcAG4AKgAgACAAIABSAGUAdAB1AHIAbgBzACAAYQAgAG4AZQB3ACAAYQByAHIAYQB5ACAAdwBoAGUAcgBlACAAdABoAGUAIABpAG4AcAB1AHQAIABhAHIAcgBhAHkAIABpAHMAIAByAGUAcABlAGEAdABlAGQAIAB2AGUAcgB0AGkAYwBhAGwAbAB5ACAAYQBuAGQAIABoAG8AcgBpAHoAbwBuAHQAYQBsAGwAeQAuAFwAbgAqAFwAbgAqACAATgBvAHQAZQBzADoAXABuACoAIAAgACAALQAgAG0AXwB2AGUAcgB0ACAAYQBuAGQAIABuAF8AaABvAHIAaQB6ACAAcwBoAG8AdQBsAGQAIABiAGUAIAB3AGgAbwBsAGUAIABuAHUAbQBiAGUAcgAgAHMAYwBhAGwAYQByACAAdgBhAGwAdQBlAHMAXABuACoALwBcAG4AUgBFAFAAQQBSAFIAQQBZACAAPQAgAEwAQQBNAEIARABBACgAYQByAHIAYQB5ACwAIABbAG0AXwB2AGUAcgB0AF0ALAAgAFsAbgBfAGgAbwByAGkAegBdACwAXABuAEwARQBUACgAZABvAGMALAAgAFwAIgBoAHQAdABwAHMAOgAvAC8AdwB3AHcALgB2AGUAcgB0AGUAeAA0ADIALgBjAG8AbQAvAGwAYQBtAGIAZABhAC8AcgBlAHAAYQByAHIAYQB5AC4AaAB0AG0AbABcACIALABcAG4AIAAgACAAIAB2AGUAcgBzAGkAbwBuACwAIABcACIAMQAvADEAMwAvADIAMAAyADUAIAAtACAAVQBwAGQAYQB0AGUAZAAgAGMAbwBtAG0AZQBuAHQAaQBuAGcAXAAiACwAXABuACAAIAAgACAALwAvACAASABhAG4AZABsAGUAIABkAGUAZgBhAHUAbAB0AHMAIABmAG8AcgAgAG0AXwB2AGUAcgB0ACAAYQBuAGQAIABuAF8AaABvAHIAaQB6AFwAbgAgACAAIAAgAG0AXwB2AGUAcgB0ACwAIABJAEYAKABJAFMAQgBMAEEATgBLACgAbQBfAHYAZQByAHQAKQAsACAAMQAsACAAbQBfAHYAZQByAHQAKQAsAFwAbgAgACAAIAAgAG4AXwBoAG8AcgBpAHoALAAgAEkARgAoAEkAUwBCAEwAQQBOAEsAKABuAF8AaABvAHIAaQB6ACkALAAgADEALAAgAG4AXwBoAG8AcgBpAHoAKQAsAFwAbgAgACAAIAAgAC8ALwAgAEMAcgBlAGEAdABlACAAdABoAGUAIAByAGUAcABlAGEAdABlAGQAIABhAHIAcgBhAHkAIAB1AHMAaQBuAGcAIABNAEEASwBFAEEAUgBSAEEAWQBcAG4AIAAgACAAIABNAEEASwBFAEEAUgBSAEEAWQAoAFwAbgAgACAAIAAgACAAIAAgACAAbQBfAHYAZQByAHQAIAAqACAAUgBPAFcAUwAoAGEAcgByAGEAeQApACwAIAAgACAAIAAgACAALwAvACAAVABvAHQAYQBsACAAcgBvAHcAcwAgAGkAbgAgAHQAaABlACAAbwB1AHQAcAB1AHQAIABhAHIAcgBhAHkAXABuACAAIAAgACAAIAAgACAAIABuAF8AaABvAHIAaQB6ACAAKgAgAEMATwBMAFUATQBOAFMAKABhAHIAcgBhAHkAKQAsACAAIAAvAC8AIABUAG8AdABhAGwAIABjAG8AbAB1AG0AbgBzACAAaQBuACAAdABoAGUAIABvAHUAdABwAHUAdAAgAGEAcgByAGEAeQBcAG4AIAAgACAAIAAgACAAIAAgAEwAQQBNAEIARABBACgAaQAsACAAagAsAFwAbgAgACAAIAAgACAAIAAgACAAIAAgACAAIABJAE4ARABFAFgAKABcAG4AIAAgACAAIAAgACAAIAAgACAAIAAgACAAIAAgACAAIABhAHIAcgBhAHkALABcAG4AIAAgACAAIAAgACAAIAAgACAAIAAgACAAIAAgACAAIAAxACAAKwAgAE0ATwBEACgAaQAgAC0AIAAxACwAIABSAE8AVwBTACgAYQByAHIAYQB5ACkAKQAsACAAIAAgACAALwAvACAAQwB5AGMAbABpAGMAIAByAG8AdwAgAGkAbgBkAGUAeABcAG4AIAAgACAAIAAgACAAIAAgACAAIAAgACAAIAAgACAAIAAxACAAKwAgAE0ATwBEACgAagAgAC0AIAAxACwAIABDAE8ATABVAE0ATgBTACgAYQByAHIAYQB5ACkAKQAgACAALwAvACAAQwB5AGMAbABpAGMAIABjAG8AbAB1AG0AbgAgAGkAbgBkAGUAeABcAG4AIAAgACAAIAAgACAAIAAgACAAIAAgACAAKQBcAG4AIAAgACAAIAAgACAAIAAgACkAXABuACAAIAAgACAAKQBcAG4AKQApADsAXABuAC8AKgAqAFwAbgAqACAAUgBlAHAAZQBhAHQAIAB0AGgAZQAgAGUAbABlAG0AZQBuAHQAcwAgAG8AZgAgAGEAbgAgAGEAcgByAGEAeQAgAG0AIAB0AGkAbQBlAHMAIAB2AGUAcgB0AGkAYwBhAGwAbAB5ACAAYQBuAGQAIABuACAAdABpAG0AZQBzACAAaABvAHIAaQB6AG8AbgB0AGEAbABsAHkAXABuACoALwBcAG4ALwAqAFwAbgAqACAASQBuAHAAdQB0AHMAOgBcAG4AKgAgACAAIABhAHIAcgBhAHkAOgAgAFQAaABlACAAaQBuAHAAdQB0ACAAYQByAHIAYQB5ACAAbwByACAAcgBhAG4AZwBlACAAdwBoAG8AcwBlACAAZQBsAGUAbQBlAG4AdABzACAAYQByAGUAIAB0AG8AIABiAGUAIAByAGUAcABlAGEAdABlAGQALgBcAG4AKgAgACAAIABbAG0AXwB2AGUAcgB0AF0AOgAgACgATwBwAHQAaQBvAG4AYQBsACwAIABEAGUAZgBhAHUAbAB0AD0AMQApACAAQQAgAHMAYwBhAGwAYQByACAAbwByACAAdgBlAGMAdABvAHIAIABzAHAAZQBjAGkAZgB5AGkAbgBnACAAdABoAGUAIABuAHUAbQBiAGUAcgAgAG8AZgAgAHQAaQBtAGUAcwAgAHQAbwAgAHIAZQBwAGUAYQB0ACAAZQBhAGMAaAAgAHIAbwB3ACAAdgBlAHIAdABpAGMAYQBsAGwAeQAuAFwAbgAqACAAIAAgAFsAbgBfAGgAbwByAGkAegBdADoAIAAoAE8AcAB0AGkAbwBuAGEAbAAsACAARABlAGYAYQB1AGwAdAA9ADEAKQAgAEEAIABzAGMAYQBsAGEAcgAgAG8AcgAgAHYAZQBjAHQAbwByACAAcwBwAGUAYwBpAGYAeQBpAG4AZwAgAHQAaABlACAAbgB1AG0AYgBlAHIAIABvAGYAIAB0AGkAbQBlAHMAIAB0AG8AIAByAGUAcABlAGEAdAAgAGUAYQBjAGgAIABjAG8AbAB1AG0AbgAgAGgAbwByAGkAegBvAG4AdABhAGwAbAB5AC4AXABuACoAXABuACoAIABPAHUAdABwAHUAdABzADoAXABuACoAIAAgACAAUgBlAHQAdQByAG4AcwAgAGEAIABuAGUAdwAgAGEAcgByAGEAeQAgAHcAaABlAHIAZQAgAGUAYQBjAGgAIABlAGwAZQBtAGUAbgB0ACAAbwBmACAAdABoAGUAIABpAG4AcAB1AHQAIABhAHIAcgBhAHkAIABpAHMAIAByAGUAcABlAGEAdABlAGQAIABhAHMAIABzAHAAZQBjAGkAZgBpAGUAZAAgAGIAeQAgAG0AXwB2AGUAcgB0ACAAYQBuAGQAIABuAF8AaABvAHIAaQB6AC4AXABuACoAXABuACoAIABOAG8AdABlAHMAOgBcAG4AKgAgACAAIAAtACAASQBmACAAbQBfAHYAZQByAHQAIABvAHIAIABuAF8AaABvAHIAaQB6ACAAaQBzACAAYQAgAHMAYwBhAGwAYQByACwAIABhAGwAbAAgAHIAbwB3AHMAIABvAHIAIABjAG8AbAB1AG0AbgBzACAAYQByAGUAIAByAGUAcABlAGEAdABlAGQAIABlAHEAdQBhAGwAbAB5AC4AXABuACoAIAAgACAALQAgAEkAZgAgAG0AXwB2AGUAcgB0ACAAbwByACAAbgBfAGgAbwByAGkAegAgAGkAcwAgAGEAIAB2AGUAYwB0AG8AcgAsACAAdABoAGUAIABjAG8AcgByAGUAcwBwAG8AbgBkAGkAbgBnACAAcgBvAHcAcwAgAG8AcgAgAGMAbwBsAHUAbQBuAHMAIABhAHIAZQAgAHIAZQBwAGUAYQB0AGUAZAAgAGIAeQAgAHQAaABlACAAdgBhAGwAdQBlAHMAIABpAG4AIAB0AGgAZQAgAHYAZQBjAHQAbwByAC4AXABuACoALwBcAG4AUgBFAFAARQBMAEUATQAgAD0AIABMAEEATQBCAEQAQQAoAGEAcgByAGEAeQAsACAAWwBtAF8AdgBlAHIAdABdACwAIABbAG4AXwBoAG8AcgBpAHoAXQAsAFwAbgBMAEUAVAAoAGQAbwBjACwAIABcACIAaAB0AHQAcABzADoALwAvAHcAdwB3AC4AdgBlAHIAdABlAHgANAAyAC4AYwBvAG0ALwBsAGEAbQBiAGQAYQAvAHIAZQBwAGUAbABlAG0ALgBoAHQAbQBsAFwAIgAsAFwAbgAgACAAIAAgAHYAZQByAHMAaQBvAG4ALAAgAFwAIgAxAC8AMQAzAC8AMgAwADIANQAgAC0AIABVAHAAZABhAHQAZQBkACAAYwBvAG0AbQBlAG4AdABpAG4AZwBcACIALABcAG4AIAAgACAAIAAvAC8AIABIAGEAbgBkAGwAZQAgAGQAZQBmAGEAdQBsAHQAcwAgAGEAbgBkACAAcgBlAHMAaABhAHAAZQAgAG0AXwB2AGUAcgB0ACAAdABvACAAYwBvAGwAdQBtAG4AIABhAG4AZAAgAG4AXwBoAG8AcgBpAHoAIAB0AG8AIAByAG8AdwBcAG4AIAAgACAAIABtAF8AdgBlAHIAdAAsACAASQBGACgASQBTAE8ATQBJAFQAVABFAEQAKABtAF8AdgBlAHIAdAApACwAIAAxACwAIABJAEYAKABDAE8ATABVAE0ATgBTACgAbQBfAHYAZQByAHQAKQAgAD4AIAAxACwAIABUAFIAQQBOAFMAUABPAFMARQAoAG0AXwB2AGUAcgB0ACkALAAgAG0AXwB2AGUAcgB0ACkAKQAsAFwAbgAgACAAIAAgAG4AXwBoAG8AcgBpAHoALAAgAEkARgAoAEkAUwBPAE0ASQBUAFQARQBEACgAbgBfAGgAbwByAGkAegApACwAIAAxACwAIABJAEYAKABSAE8AVwBTACgAbgBfAGgAbwByAGkAegApACAAPgAgADEALAAgAFQAUgBBAE4AUwBQAE8AUwBFACgAbgBfAGgAbwByAGkAegApACwAIABuAF8AaABvAHIAaQB6ACkAKQAsAFwAbgAgACAAIAAgAC8ALwAgAEcAZQB0ACAAdABoAGUAIABkAGkAbQBlAG4AcwBpAG8AbgBzACAAbwBmACAAdABoAGUAIABpAG4AcAB1AHQAIABhAHIAcgBhAHkAXABuACAAIAAgACAAcgBvAHcAcwAsACAAUgBPAFcAUwAoAGEAcgByAGEAeQApACwAXABuACAAIAAgACAAYwBvAGwAcwAsACAAQwBPAEwAVQBNAE4AUwAoAGEAcgByAGEAeQApACwAXABuACAAIAAgACAALwAvACAAQwByAGUAYQB0AGUAIABhACAAdgBlAGMAdABvAHIAIABzAHAAZQBjAGkAZgB5AGkAbgBnACAAdABoAGUAIABuAHUAbQBiAGUAcgAgAG8AZgAgAHIAZQBwAGUAdABpAHQAaQBvAG4AcwAgAGYAbwByACAAZQBhAGMAaAAgAHIAbwB3AFwAbgAgACAAIAAgAG0AXwBhAHIAcgBhAHkALAAgAEkARgAoAFIATwBXAFMAKABtAF8AdgBlAHIAdAApACAAPgAgADEALAAgAG0AXwB2AGUAcgB0ACwAIABTAEUAUQBVAEUATgBDAEUAKAByAG8AdwBzACwAIAAxACwAIABJAE4ARABFAFgAKABtAF8AdgBlAHIAdAAsACAAMQAsACAAMQApACwAIAAwACkAKQAsAFwAbgAgACAAIAAgAC8ALwAgAEMAcgBlAGEAdABlACAAYQAgAHYAZQBjAHQAbwByACAAcwBwAGUAYwBpAGYAeQBpAG4AZwAgAHQAaABlACAAbgB1AG0AYgBlAHIAIABvAGYAIAByAGUAcABlAHQAaQB0AGkAbwBuAHMAIABmAG8AcgAgAGUAYQBjAGgAIABjAG8AbAB1AG0AbgBcAG4AIAAgACAAIABuAF8AYQByAHIAYQB5ACwAIABJAEYAKABDAE8ATABVAE0ATgBTACgAbgBfAGgAbwByAGkAegApACAAPgAgADEALAAgAG4AXwBoAG8AcgBpAHoALAAgAFMARQBRAFUARQBOAEMARQAoADEALAAgAGMAbwBsAHMALAAgAEkATgBEAEUAWAAoAG4AXwBoAG8AcgBpAHoALAAgADEALAAgADEAKQAsACAAMAApACkALABcAG4AIAAgACAAIAAvAC8AIABDAGEAbABjAHUAbABhAHQAZQAgAHQAaABlACAAdABvAHQAYQBsACAAcwBpAHoAZQAgAG8AZgAgAHQAaABlACAAbwB1AHQAcAB1AHQAIABhAHIAcgBhAHkAXABuACAAIAAgACAAdABvAHQAYQBsAF8AcgBvAHcAcwAsACAAUwBVAE0AKABtAF8AYQByAHIAYQB5ACkALABcAG4AIAAgACAAIAB0AG8AdABhAGwAXwBjAG8AbABzACwAIABTAFUATQAoAG4AXwBhAHIAcgBhAHkAKQAsAFwAbgAgACAAIAAgAC8ALwAgAEMAbwBtAHAAdQB0AGUAIABjAHUAbQB1AGwAYQB0AGkAdgBlACAAcwB1AG0AcwAgAGYAbwByACAAcgBvAHcAIABhAG4AZAAgAGMAbwBsAHUAbQBuACAAcgBlAHAAZQB0AGkAdABpAG8AbgBzAFwAbgAgACAAIAAgAGMAcwB1AG0AXwB2AGUAcgB0ACwAIABTAEMAQQBOACgAMAAsACAAbQBfAGEAcgByAGEAeQAsACAATABBAE0AQgBEAEEAKABhACwAIABiACwAIABhACAAKwAgAGIAKQApACwAXABuACAAIAAgACAAYwBzAHUAbQBfAGgAbwByAGkAegAsACAAUwBDAEEATgAoADAALAAgAG4AXwBhAHIAcgBhAHkALAAgAEwAQQBNAEIARABBACgAYQAsACAAYgAsACAAYQAgACsAIABiACkAKQAsAFwAbgAgACAAIAAgAC8ALwAgAE0AYQBwACAAZQBhAGMAaAAgAG8AdQB0AHAAdQB0ACAAaQBuAGQAZQB4ACAAdABvACAAdABoAGUAIABjAG8AcgByAGUAcwBwAG8AbgBkAGkAbgBnACAAaQBuAHAAdQB0ACAAaQBuAGQAZQB4AFwAbgAgACAAIAAgAHIAbwB3AF8AaQBuAGQAaQBjAGUAcwAsACAAWABNAEEAVABDAEgAKABTAEUAUQBVAEUATgBDAEUAKAB0AG8AdABhAGwAXwByAG8AdwBzACkALAAgAGMAcwB1AG0AXwB2AGUAcgB0ACwAIAAxACkALABcAG4AIAAgACAAIABjAG8AbABfAGkAbgBkAGkAYwBlAHMALAAgAFgATQBBAFQAQwBIACgAUwBFAFEAVQBFAE4AQwBFACgAdABvAHQAYQBsAF8AYwBvAGwAcwApACwAIABjAHMAdQBtAF8AaABvAHIAaQB6ACwAIAAxACkALABcAG4AIAAgACAAIAAvAC8AIABHAGUAbgBlAHIAYQB0AGUAIAB0AGgAZQAgAGYAaQBuAGEAbAAgAGEAcgByAGEAeQBcAG4AIAAgACAAIABNAEEASwBFAEEAUgBSAEEAWQAoAHQAbwB0AGEAbABfAHIAbwB3AHMALAAgAHQAbwB0AGEAbABfAGMAbwBsAHMALAAgAEwAQQBNAEIARABBACgAaQAsACAAagAsAFwAbgAgACAAIAAgACAAIAAgACAASQBOAEQARQBYACgAYQByAHIAYQB5ACwAIABJAE4ARABFAFgAKAByAG8AdwBfAGkAbgBkAGkAYwBlAHMALAAgAGkALAAgADEAKQAsACAASQBOAEQARQBYACgAYwBvAGwAXwBpAG4AZABpAGMAZQBzACwAIABqACwAIAAxACkAKQBcAG4AIAAgACAAIAApACkAXABuACkAKQA7AFwAbgBcAG4ALwAqACoAXABuACoAIABSAGUAcABsAGEAYwBlACAAYQAgAGIAbABvAGMAawAgAHcAaQB0AGgAaQBuACAAYQBuACAAYQByAHIAYQB5ACAAYgB5ACAAcwBwAGUAYwBpAGYAeQBpAG4AZwAgAHQAaABlACAAcwB0AGEAcgB0AGkAbgBnACAAKABpACwAagApACAAbABvAGMAYQB0AGkAbwBuAFwAbgAqAC8AXABuAFIARQBQAEwAQQBDAEUAQgBMAE8AQwBLACAAPQAgAEwAQQBNAEIARABBACgAYQByAHIAYQB5ACwAaQAsAGoALABuAGUAdwBfAGIAbABvAGMAawAsAFwAbgBMAEUAVAAoAGQAbwBjACwAXAAiAGgAdAB0AHAAcwA6AC8ALwB3AHcAdwAuAHYAZQByAHQAZQB4ADQAMgAuAGMAbwBtAC8AbABhAG0AYgBkAGEALwByAGUAcABsAGEAYwBlAGIAbABvAGMAawAuAGgAdABtAGwAXAAiACwAXABuACAAIAAgACAAbQByAG8AdwBzACwAUgBPAFcAUwAoAG4AZQB3AF8AYgBsAG8AYwBrACkALABcAG4AIAAgACAAIABuAGMAbwBsAHMALABDAE8ATABVAE0ATgBTACgAbgBlAHcAXwBiAGwAbwBjAGsAKQAsAFwAbgAgACAAIAAgAE0AQQBLAEUAQQBSAFIAQQBZACgAUgBPAFcAUwAoAGEAcgByAGEAeQApACwAQwBPAEwAVQBNAE4AUwAoAGEAcgByAGEAeQApACwAXABuACAAIAAgACAAIAAgACAAIABMAEEATQBCAEQAQQAoAHIALABjACwAXABuACAAIAAgACAAIAAgACAAIAAgACAAIAAgAEkARgAoAEEATgBEACgAKAByAC0AaQArADEAKQA+ADAALAAoAHIALQBpACkAPABtAHIAbwB3AHMALAAoAGMALQBqACsAMQApAD4AMAAsACgAYwAtAGoAKQA8AG4AYwBvAGwAcwApACwAXABuACAAIAAgACAAIAAgACAAIAAgACAAIAAgACAAIAAgACAASQBOAEQARQBYACgAbgBlAHcAXwBiAGwAbwBjAGsALAByAC0AaQArADEALABjAC0AagArADEAKQAsAFwAbgAgACAAIAAgACAAIAAgACAAIAAgACAAIAAgACAAIAAgAEkATgBEAEUAWAAoAGEAcgByAGEAeQAsAHIALABjACkAXABuACAAIAAgACAAIAAgACAAIAAgACAAIAAgACkAXABuACAAIAAgACAAIAAgACAAIAApAFwAbgAgACAAIAAgACkAXABuACkAKQA7AFwAbgBcAG4ALwAqACoAXABuACoAIABSAGUAdAB1AHIAbgAgAGEAIABzAHUAYgBzAGUAdAAgAG8AZgAgAHIAbwB3AHMAIABhAG4AZAAgAGMAbwBsAHUAbQBuAHMAIABmAHIAbwBtACAAYQBuACAAYQByAHIAYQB5AFwAbgAqAC8AXABuAFMATABJAEMARQAgAD0AIABMAEEATQBCAEQAQQAoAGEAcgByAGEAeQAsAHIAbwB3AF8AcwB0AGEAcgB0ACwAcgBvAHcAXwBlAG4AZAAsAFsAYwBvAGwAXwBzAHQAYQByAHQAXQAsAFsAYwBvAGwAXwBlAG4AZABdACwAXABuAEwARQBUACgAZABvAGMALABcACIAaAB0AHQAcABzADoALwAvAHcAdwB3AC4AdgBlAHIAdABlAHgANAAyAC4AYwBvAG0ALwBsAGEAbQBiAGQAYQAvAHMAbABpAGMAZQAuAGgAdABtAGwAXAAiACwAXABuACAAIAAgACAAcgBvAHcAcwAsAFIATwBXAFMAKABhAHIAcgBhAHkAKQAsAFwAbgAgACAAIAAgAGMAbwBsAHMALABDAE8ATABVAE0ATgBTACgAYQByAHIAYQB5ACkALABcAG4AIAAgACAAIAByAG8AdwBfAHMAdABhAHIAdAAsAEkARgAoAEkAUwBCAEwAQQBOAEsAKAByAG8AdwBfAHMAdABhAHIAdAApACwAMQAsAFwAbgAgACAAIAAgACAAIAAgACAASQBGACgAcgBvAHcAXwBzAHQAYQByAHQAPAAwACwASQBGACgAQQBCAFMAKAByAG8AdwBfAHMAdABhAHIAdAApAD4APQByAG8AdwBzACwAMQAsAHIAbwB3AHMAKwByAG8AdwBfAHMAdABhAHIAdAArADEAKQAsAHIAbwB3AF8AcwB0AGEAcgB0ACkAXABuACAAIAAgACAAKQAsAFwAbgAgACAAIAAgAHIAbwB3AF8AZQBuAGQALABJAEYAKABPAFIAKABJAFMAQgBMAEEATgBLACgAcgBvAHcAXwBlAG4AZAApACwAcgBvAHcAXwBlAG4AZAA+AHIAbwB3AHMAKQAsAHIAbwB3AHMALABcAG4AIAAgACAAIAAgACAAIAAgAEkARgAoAHIAbwB3AF8AZQBuAGQAPAAwACwASQBGACgAQQBCAFMAKAByAG8AdwBfAGUAbgBkACkAPgA9AHIAbwB3AHMALAAxACwAcgBvAHcAcwArAHIAbwB3AF8AZQBuAGQAKwAxACkALAByAG8AdwBfAGUAbgBkACkAXABuACAAIAAgACAAKQAsAFwAbgAgACAAIAAgAGMAbwBsAF8AcwB0AGEAcgB0ACwASQBGACgASQBTAEIATABBAE4ASwAoAGMAbwBsAF8AcwB0AGEAcgB0ACkALAAxACwAXABuACAAIAAgACAAIAAgACAAIABJAEYAKABjAG8AbABfAHMAdABhAHIAdAA8ADAALABJAEYAKABBAEIAUwAoAGMAbwBsAF8AcwB0AGEAcgB0ACkAPgA9AGMAbwBsAHMALAAxACwAYwBvAGwAcwArAGMAbwBsAF8AcwB0AGEAcgB0ACsAMQApACwAYwBvAGwAXwBzAHQAYQByAHQAKQBcAG4AIAAgACAAIAApACwAXABuACAAIAAgACAAYwBvAGwAXwBlAG4AZAAsAEkARgAoAE8AUgAoAEkAUwBCAEwAQQBOAEsAKABjAG8AbABfAGUAbgBkACkALABjAG8AbABfAGUAbgBkAD4AYwBvAGwAcwApACwAYwBvAGwAcwAsAFwAbgAgACAAIAAgACAAIAAgACAASQBGACgAYwBvAGwAXwBlAG4AZAA8ADAALABJAEYAKABBAEIAUwAoAGMAbwBsAF8AZQBuAGQAKQA+AD0AYwBvAGwAcwAsADEALABjAG8AbABzACsAYwBvAGwAXwBlAG4AZAArADEAKQAsAGMAbwBsAF8AZQBuAGQAKQBcAG4AIAAgACAAIAApACwAXABuACAAIAAgACAAbgBlAHcAXwBhAHIAcgBhAHkALABDAEgATwBPAFMARQBSAE8AVwBTACgAYQByAHIAYQB5ACwAUwBFAFEAVQBFAE4AQwBFACgAcgBvAHcAXwBlAG4AZAAtAHIAbwB3AF8AcwB0AGEAcgB0ACsAMQAsACwAcgBvAHcAXwBzAHQAYQByAHQALAAxACkAKQAsAFwAbgAgACAAIAAgAEMASABPAE8AUwBFAEMATwBMAFMAKABuAGUAdwBfAGEAcgByAGEAeQAsAFMARQBRAFUARQBOAEMARQAoAGMAbwBsAF8AZQBuAGQALQBjAG8AbABfAHMAdABhAHIAdAArADEALAAsAGMAbwBsAF8AcwB0AGEAcgB0ACwAMQApACkAXABuACkAKQA7AFwAbgBcAG4ALwAqACoAXABuACoAIABTAHAAbABpAGMAZQAgAGEAbgAgAGEAcgByAGEAeQAgAHcAaQB0AGgAbwB1AHQAIABvAHAAdABpAG8AbgBhAGwAIABkAGUAbABlAHQAZQAgAGEAbgBkACAAaQBuAHMAZQByAHQAXABuACoALwBcAG4AUwBQAEwASQBDAEUAIAA9ACAATABBAE0AQgBEAEEAKABhAHIAcgBhAHkALABzAHQAYQByAHQAXwBpAG4AZABlAHgALABkAGUAbABlAHQAZQBfAGMAbwB1AG4AdAAsAFsAaQBuAHMAZQByAHQAXwBhAHIAcgBhAHkAXQAsAFsAYgB5AF8AYwBvAGwAXQAsAFwAbgBMAEUAVAAoAGQAbwBjACwAXAAiAGgAdAB0AHAAcwA6AC8ALwB3AHcAdwAuAHYAZQByAHQAZQB4ADQAMgAuAGMAbwBtAC8AbABhAG0AYgBkAGEALwBzAHAAbABpAGMAZQAuAGgAdABtAGwAXAAiACwAXABuACAAIAAgACAAcwB0AGEAcgB0ACwASQBGACgAcwB0AGEAcgB0AF8AaQBuAGQAZQB4ADwAMQAsADEALABzAHQAYQByAHQAXwBpAG4AZABlAHgAKQAsAFwAbgAgACAAIAAgAGIAeQBfAGMAbwBsACwASQBGACgASQBTAE8ATQBJAFQAVABFAEQAKABiAHkAXwBjAG8AbAApACwARgBBAEwAUwBFACwAYgB5AF8AYwBvAGwAKQAsAFwAbgAgACAAIAAgAG4AbwBfAGkAbgBzAGUAcgB0ACwASQBTAE8ATQBJAFQAVABFAEQAKABpAG4AcwBlAHIAdABfAGEAcgByAGEAeQApACwAXABuACAAIAAgACAAbgBvAF8AZgBpAHIAcwB0ACwAcwB0AGEAcgB0ADwAPQAxACwAXABuACAAIAAgACAAZgBpAHIAcwB0ACwASQBGACgAYgB5AF8AYwBvAGwALABUAEEASwBFACgAYQByAHIAYQB5ACwALABzAHQAYQByAHQALQAxACkALABUAEEASwBFACgAYQByAHIAYQB5ACwAcwB0AGEAcgB0AC0AMQAsACkAKQAsAFwAbgAgACAAIAAgAG4AbwBfAGwAYQBzAHQALABkAGUAbABlAHQAZQBfAGMAbwB1AG4AdAA+AEkARgAoAGIAeQBfAGMAbwBsACwAQwBPAEwAVQBNAE4AUwAoAGEAcgByAGEAeQApACwAUgBPAFcAUwAoAGEAcgByAGEAeQApACkALQBzAHQAYQByAHQALABcAG4AIAAgACAAIABsAGEAcwB0ACwASQBGACgAYgB5AF8AYwBvAGwALABEAFIATwBQACgAYQByAHIAYQB5ACwALABzAHQAYQByAHQAKwBkAGUAbABlAHQAZQBfAGMAbwB1AG4AdAAtADEAKQAsAEQAUgBPAFAAKABhAHIAcgBhAHkALABzAHQAYQByAHQAKwBkAGUAbABlAHQAZQBfAGMAbwB1AG4AdAAtADEALAApACkALABcAG4AIAAgACAAIAB0AGYALABDAE8ATgBDAEEAVABFAE4AQQBUAEUAKABcAG4AIAAgACAAIAAgACAAIAAgAEkARgAoAG4AbwBfAGYAaQByAHMAdAAsAFwAIgBUAFwAIgAsAFwAIgBGAFwAIgApACwAXABuACAAIAAgACAAIAAgACAAIABJAEYAKABuAG8AXwBpAG4AcwBlAHIAdAAsAFwAIgBUAFwAIgAsAFwAIgBGAFwAIgApACwAXABuACAAIAAgACAAIAAgACAAIABJAEYAKABuAG8AXwBsAGEAcwB0ACwAXAAiAFQAXAAiACwAXAAiAEYAXAAiACkALABcAG4AIAAgACAAIAAgACAAIAAgAEkARgAoAGIAeQBfAGMAbwBsACwAXAAiAFQAXAAiACwAXAAiAEYAXAAiACkAXABuACAAIAAgACAAKQAsAFwAbgAgACAAIAAgAFMAVwBJAFQAQwBIACgAdABmACwAXABuACAAIAAgACAAIAAgACAAIABcACIAVABUAFQAVABcACIALABOAEEAKAApACwAXAAiAFQAVABUAEYAXAAiACwATgBBACgAKQAsAFwAbgAgACAAIAAgACAAIAAgACAAXAAiAFQAVABGAFQAXAAiACwAbABhAHMAdAAsAFwAIgBUAFQARgBGAFwAIgAsAGwAYQBzAHQALABcAG4AIAAgACAAIAAgACAAIAAgAFwAIgBUAEYAVABUAFwAIgAsAGkAbgBzAGUAcgB0AF8AYQByAHIAYQB5ACwAXAAiAFQARgBUAEYAXAAiACwAaQBuAHMAZQByAHQAXwBhAHIAcgBhAHkALABcAG4AIAAgACAAIAAgACAAIAAgAFwAIgBUAEYARgBUAFwAIgAsAEgAUwBUAEEAQwBLACgAaQBuAHMAZQByAHQAXwBhAHIAcgBhAHkALABsAGEAcwB0ACkALABcAG4AIAAgACAAIAAgACAAIAAgAFwAIgBUAEYARgBGAFwAIgAsAFYAUwBUAEEAQwBLACgAaQBuAHMAZQByAHQAXwBhAHIAcgBhAHkALABsAGEAcwB0ACkALABcAG4AIAAgACAAIAAgACAAIAAgAFwAIgBGAFQAVABUAFwAIgAsAGYAaQByAHMAdAAsAFwAIgBGAFQAVABGAFwAIgAsAGYAaQByAHMAdAAsAFwAbgAgACAAIAAgACAAIAAgACAAXAAiAEYAVABGAFQAXAAiACwASABTAFQAQQBDAEsAKABmAGkAcgBzAHQALABsAGEAcwB0ACkALABcAG4AIAAgACAAIAAgACAAIAAgAFwAIgBGAFQARgBGAFwAIgAsAFYAUwBUAEEAQwBLACgAZgBpAHIAcwB0ACwAbABhAHMAdAApACwAXABuACAAIAAgACAAIAAgACAAIABcACIARgBGAFQAVABcACIALABIAFMAVABBAEMASwAoAGYAaQByAHMAdAAsAGkAbgBzAGUAcgB0AF8AYQByAHIAYQB5ACkALABcAG4AIAAgACAAIAAgACAAIAAgAFwAIgBGAEYAVABGAFwAIgAsAFYAUwBUAEEAQwBLACgAZgBpAHIAcwB0ACwAaQBuAHMAZQByAHQAXwBhAHIAcgBhAHkAKQAsAFwAbgAgACAAIAAgACAAIAAgACAAXAAiAEYARgBGAFQAXAAiACwASABTAFQAQQBDAEsAKABmAGkAcgBzAHQALABpAG4AcwBlAHIAdABfAGEAcgByAGEAeQAsAGwAYQBzAHQAKQAsAFwAbgAgACAAIAAgACAAIAAgACAAXAAiAEYARgBGAEYAXAAiACwAVgBTAFQAQQBDAEsAKABmAGkAcgBzAHQALABpAG4AcwBlAHIAdABfAGEAcgByAGEAeQAsAGwAYQBzAHQAKQAsAFwAbgAgACAAIAAgACkAXABuACkAKQA7AFwAbgBcAG4ALwAqACoAXABuACoAIABSAGUAdAB1AHIAbgAgAGEAbgAgAGEAcgByAGEAeQAgAG8AZgAgAGEAbABsACAAYwBvAG0AYgBpAG4AYQB0AGkAbwBuAHMAIABvAGYAIAByAG8AdwBzACAAZgByAG8AbQAgAG0AdQBsAHQAaQBwAGwAZQAgAGEAcgByAGEAeQBzAC4AXABuACoALwBcAG4ALwAqACAASQBuAHAAdQB0AHMAOgBcAG4AKgAgACAAIABhAHIAcgBhAHkAXwAxACwAIABhAHIAcgBhAHkAXwAyADoAIABSAGUAcQB1AGkAcgBlAGQALgAgAFQAaABlACAAZgBpAHIAcwB0ACAAdAB3AG8AIABhAHIAcgBhAHkAcwAgAHQAbwAgAGMAbwBtAGIAaQBuAGUALgBcAG4AKgAgACAAIABbAGEAcgByAGEAeQBfADMAXQAsACAAWwBhAHIAcgBhAHkAXwA0AF0ALAAgAFsAYQByAHIAYQB5AF8ANQBdADoAIABPAHAAdABpAG8AbgBhAGwALgAgAEEAZABkAGkAdABpAG8AbgBhAGwAIABhAHIAcgBhAHkAcwAgAHQAbwAgAGkAbgBjAGwAdQBkAGUAIABpAG4AIAB0AGgAZQAgAGMAbwBtAGIAaQBuAGEAdABpAG8AbgBzAC4AXABuACoAXABuACoAIABPAHUAdABwAHUAdABzADoAXABuACoAIAAgACAAUgBlAHQAdQByAG4AcwAgAGEAbgAgAGEAcgByAGEAeQAgAHcAaABlAHIAZQAgAGUAYQBjAGgAIAByAG8AdwAgAGkAcwAgAGEAIAB1AG4AaQBxAHUAZQAgAGMAbwBtAGIAaQBuAGEAdABpAG8AbgAgAG8AZgAgAHIAbwB3AHMAIABmAHIAbwBtACAAdABoAGUAIABpAG4AcAB1AHQAIABhAHIAcgBhAHkAcwAuAFwAbgAqAFwAbgAqACAAUgBlAHEAdQBpAHIAZQBzADoAIABSAEUAUABFAEwARQBNACAAYQBuAGQAIABSAEUAUABBAFIAUgBBAFkAXABuACoALwBcAG4AQwBPAE0AQgBJAE4AQQBUAEkATwBOAFMAIAA9ACAATABBAE0AQgBEAEEAKABhAHIAcgBhAHkAXwAxACwAIABhAHIAcgBhAHkAXwAyACwAIABbAGEAcgByAGEAeQBfADMAXQAsACAAWwBhAHIAcgBhAHkAXwA0AF0ALAAgAFsAYQByAHIAYQB5AF8ANQBdACwAXABuAEwARQBUACgAZABvAGMALABcACIAaAB0AHQAcABzADoALwAvAHcAdwB3AC4AdgBlAHIAdABlAHgANAAyAC4AYwBvAG0ALwBsAGEAbQBiAGQAYQAvAGMAbwBtAGIAaQBuAGEAdABpAG8AbgBzAC4AaAB0AG0AbABcACIALABcAG4AIAAgACAAIAB2AGUAcgBzAGkAbwBuACwAIABcACIAMQAuADAALgAxACAAMQAvADEAMwAvADIAMAAyADUAIAAtACAATQB1AGwAdABpAHAAbABlACAAbwBwAHQAaQBvAG4AYQBsACAAYQByAHIAYQB5AHMAXAAiACwAXABuACAAIAAgACAALwAvACAAQwBvAG0AYgBpAG4AZQAgAHQAdwBvACAAYQByAHIAYQB5AHMAIABpAG4AdABvACAAYQBsAGwAIABwAG8AcwBzAGkAYgBsAGUAIAByAG8AdwAgAGMAbwBtAGIAaQBuAGEAdABpAG8AbgBzAFwAbgAgACAAIAAgAGMAbwBtAGIAaQBuAGUAXwB0AHcAbwBfAGEAcgByAGEAeQBzACwAIABMAEEATQBCAEQAQQAoAGEALAAgAGIALABcAG4AIAAgACAAIAAgACAAIAAgAEwARQBUACgAXABuACAAIAAgACAAIAAgACAAIAAgACAAIAAgAHIAXwAxACwAIABSAE8AVwBTACgAYQApACwAIAByAF8AMgAsACAAUgBPAFcAUwAoAGIAKQAsAFwAbgAgACAAIAAgACAAIAAgACAAIAAgACAAIABmAGkAcgBzAHQALAAgAFIARQBQAEUATABFAE0AKABhACwAIAByAF8AMgAsACAAMQApACwAXABuACAAIAAgACAAIAAgACAAIAAgACAAIAAgAHMAZQBjAG8AbgBkACwAIABSAEUAUABBAFIAUgBBAFkAKABiACwAIAByAF8AMQAsACAAMQApACwAXABuACAAIAAgACAAIAAgACAAIAAgACAAIAAgAEgAUwBUAEEAQwBLACgAZgBpAHIAcwB0ACwAIABzAGUAYwBvAG4AZAApAFwAbgAgACAAIAAgACAAIAAgACAAKQBcAG4AIAAgACAAIAApACwAXABuACAAIAAgACAALwAvACAASQBuAGkAdABpAGEAbABpAHoAZQAgAHcAaQB0AGgAIAB0AGgAZQAgAGYAaQByAHMAdAAgAHQAdwBvACAAYQByAHIAYQB5AHMAXABuACAAIAAgACAAcgBlAHMAdQBsAHQALAAgAGMAbwBtAGIAaQBuAGUAXwB0AHcAbwBfAGEAcgByAGEAeQBzACgAYQByAHIAYQB5AF8AMQAsACAAYQByAHIAYQB5AF8AMgApACwAXABuACAAIAAgACAALwAvACAARQB4AHQAZQBuAGQAIAB0AGgAZQAgAGMAbwBtAGIAaQBuAGEAdABpAG8AbgBzACAAYgB5ACAAYQBkAGQAaQBuAGcAIABvAHAAdABpAG8AbgBhAGwAIABhAHIAcgBhAHkAcwAgAGkAZgAgAHAAcgBvAHYAaQBkAGUAZABcAG4AIAAgACAAIAByAGUAcwB1AGwAdAAyACwAIABJAEYAKABJAFMATwBNAEkAVABUAEUARAAoAGEAcgByAGEAeQBfADMAKQAsACAAcgBlAHMAdQBsAHQALAAgAGMAbwBtAGIAaQBuAGUAXwB0AHcAbwBfAGEAcgByAGEAeQBzACgAcgBlAHMAdQBsAHQALAAgAGEAcgByAGEAeQBfADMAKQApACwAXABuACAAIAAgACAAcgBlAHMAdQBsAHQAMwAsACAASQBGACgASQBTAE8ATQBJAFQAVABFAEQAKABhAHIAcgBhAHkAXwA0ACkALAAgAHIAZQBzAHUAbAB0ADIALAAgAGMAbwBtAGIAaQBuAGUAXwB0AHcAbwBfAGEAcgByAGEAeQBzACgAcgBlAHMAdQBsAHQAMgAsACAAYQByAHIAYQB5AF8ANAApACkALABcAG4AIAAgACAAIAByAGUAcwB1AGwAdAA0ACwAIABJAEYAKABJAFMATwBNAEkAVABUAEUARAAoAGEAcgByAGEAeQBfADUAKQAsACAAcgBlAHMAdQBsAHQAMwAsACAAYwBvAG0AYgBpAG4AZQBfAHQAdwBvAF8AYQByAHIAYQB5AHMAKAByAGUAcwB1AGwAdAAzACwAIABhAHIAcgBhAHkAXwA1ACkAKQAsAFwAbgAgACAAIAAgAC8ALwAgAFIAZQB0AHUAcgBuACAAdABoAGUAIABmAGkAbgBhAGwAIABjAG8AbQBiAGkAbgBhAHQAaQBvAG4AcwBcAG4AIAAgACAAIAByAGUAcwB1AGwAdAA0AFwAbgApACkAOwBcAG4AXABuAC8AKgAqAFwAbgAqACAAUABlAHIAbQB1AHQAYQB0AGkAbwBuAHMAIABvAGYAIAB2AGEAbAB1AGUAcwAgAGkAbgAgAGEAbgAgAGEAcgByAGEAeQAgAGMAaABvAHMAZQBuACAAbgAgAGEAdAAgAGEAIAB0AGkAbQBlACAAdwBpAHQAaAAgAHIAZQBwAGUAdABpAHQAaQBvAG4AXABuACoALwBcAG4AUABFAFIATQBVAFQAQQBUAEkATwBOAFMAIAA9ACAATABBAE0AQgBEAEEAKABhAHIAcgBhAHkALABuAF8AYwBoAG8AcwBlAG4ALABcAG4ATABFAFQAKABkAG8AYwAsAFwAIgBoAHQAdABwAHMAOgAvAC8AdwB3AHcALgB2AGUAcgB0AGUAeAA0ADIALgBjAG8AbQAvAGwAYQBtAGIAZABhAC8AcABlAHIAbQB1AHQAYQB0AGkAbwBuAHMALgBoAHQAbQBsAFwAIgAsAFwAbgAgACAAIAAgAGEAcgByAGEAeQAsAEkARgAoAEEATgBEACgAQwBPAEwAVQBNAE4AUwAoAGEAcgByAGEAeQApAD4AMQAsAFIATwBXAFMAKABhAHIAcgBhAHkAKQA9ADEAKQAsAFQAUgBBAE4AUwBQAE8AUwBFACgAYQByAHIAYQB5ACkALABhAHIAcgBhAHkAKQAsAFwAbgAgACAAIAAgAFIARQBEAFUAQwBFACgAXAAiAFwAIgAsAFMARQBRAFUARQBOAEMARQAoAG4AXwBjAGgAbwBzAGUAbgAtADEAKQAsAEwAQQBNAEIARABBACgAYQBjAGMALABpACwAXABuACAAIAAgACAAIAAgACAAIABJAEYAKABpAD0AMQAsAEMATwBNAEIASQBOAEEAVABJAE8ATgBTACgAYQByAHIAYQB5ACwAYQByAHIAYQB5ACkALABDAE8ATQBCAEkATgBBAFQASQBPAE4AUwAoAGEAcgByAGEAeQAsAGEAYwBjACkAKQBcAG4AIAAgACAAIAApACkAXABuACkAKQA7AFwAbgAvACoAKgBcAG4AKgAgAFIAZQB0AHUAcgBuACAAYQBsAGwAIAB0AGgAZQAgAGMAbwBtAGIAaQBuAGEAdABpAG8AbgBzACAAbwBmACAAKABOACAAQwBoAG8AbwBzAGUAIABLACkAIABmAHIAbwBtACAAYQBuACAATgB4ADEAIABhAHIAcgBhAHkAXABuACoALwBcAG4AQwBPAE0AQgBJAE4AUgAgAD0AIABMAEEATQBCAEQAQQAoAGEAcgByAGEAeQAsAGsALABcAG4ATABFAFQAKABkAG8AYwAsAFwAIgBoAHQAdABwAHMAOgAvAC8AdwB3AHcALgB2AGUAcgB0AGUAeAA0ADIALgBjAG8AbQAvAGwAYQBtAGIAZABhAC8AYwBvAG0AYgBpAG4AcgAuAGgAdABtAGwAXAAiACwAXABuACAAIAAgACAAYQByAHIAYQB5ACwASQBGACgAQQBOAEQAKABDAE8ATABVAE0ATgBTACgAYQByAHIAYQB5ACkAPgAxACwAUgBPAFcAUwAoAGEAcgByAGEAeQApAD0AMQApACwAVABSAEEATgBTAFAATwBTAEUAKABhAHIAcgBhAHkAKQAsAGEAcgByAGEAeQApACwAXABuACAAIAAgACAAYwBvAGwAcwAsAEMATwBMAFUATQBOAFMAKABhAHIAcgBhAHkAKQAsAFwAbgAgACAAIAAgAG4ALABSAE8AVwBTACgAYQByAHIAYQB5ACkALABcAG4AIAAgACAAIABJAEYAKABjAG8AbABzAD4AMQAsAFwAIgBFAHIAcgBvAHIAOgAgAEEAcgByAGEAeQAgAHMAaQB6AGUAIABtAHUAcwB0ACAAYgBlACAAbgAgAHgAIAAxAFwAIgAsAFwAbgAgACAAIAAgAEkARgAoAG4APAAzACwAXAAiAEUAcgByAG8AcgA6ACAAbgAgAG0AdQBzAHQAIABiAGUAIAA+AD0AIAAzAFwAIgAsAFwAbgAgACAAIAAgAEkARgAoAGsAPgBuACwAXAAiAEUAcgByAG8AcgA6ACAAawAgAG0AdQBzAHQAIABiAGUAIAA8ACAAUgBvAHcAcwBcACIALABcAG4AIAAgACAAIABMAEUAVAAoAFwAbgAgACAAIAAgAG0ALABDAE8ATQBCAEkATgAoAG4ALABrACkALABcAG4AIAAgACAAIABtAHMALABTAEUAUQBVAEUATgBDAEUAKABtACkALABcAG4AIAAgACAAIABtAHgALABTAEUAUQBVAEUATgBDAEUAKAAxACwAawAsAG4ALQBrACsAMQAsADEAKQAsAFwAbgAgACAAIAAgAGMAbwBtAGIAbwBzACwAUgBFAEQAVQBDAEUAKABTAEUAUQBVAEUATgBDAEUAKABtACwAawAsADAALAAwACkALABtAHMALABcAG4AIAAgACAAIABMAEEATQBCAEQAQQAoAGEAYwBjACwAaQAsAFwAbgAgACAAIAAgACAAIAAgACAASQBGACgAaQA9ADEALABTAEUAUQBVAEUATgBDAEUAKAAxACwAawApACwAXABuACAAIAAgACAAIAAgACAAIABMAEUAVAAoAHAAcgBlAHYAXwByAG8AdwAsAEkATgBEAEUAWAAoAGEAYwBjACwAaQAtADEALAAwACkALABcAG4AIAAgACAAIAAgACAAIAAgACAAIAAgACAAdABmACwAcAByAGUAdgBfAHIAbwB3AD0AbQB4ACwAXABuACAAIAAgACAAIAAgACAAIAAgACAAIAAgAGMAbwBsADIAaQBuAGMALABJAEYARQBSAFIATwBSACgATQBBAFQAQwBIACgAVABSAFUARQAsAHQAZgAsADAAKQAsAGsAKwAxACkALQAxACwAXABuACAAIAAgACAAIAAgACAAIAAgACAAIAAgAG4AZQB3AF8AcgBvAHcALABJAEYAKABjAG8AbAAyAGkAbgBjAD0AMQAsAFwAbgAgACAAIAAgACAAIAAgACAAIAAgACAAIAAgACAAIAAgAFMARQBRAFUARQBOAEMARQAoADEALABrAC0AYwBvAGwAMgBpAG4AYwArADEALABJAE4ARABFAFgAKABwAHIAZQB2AF8AcgBvAHcALAAxACwAYwBvAGwAMgBpAG4AYwApACsAMQApACwAXABuACAAIAAgACAAIAAgACAAIAAgACAAIAAgACAAIAAgACAASABTAFQAQQBDAEsAKABcAG4AIAAgACAAIAAgACAAIAAgACAAIAAgACAAIAAgACAAIAAgACAAIAAgAEMASABPAE8AUwBFAEMATwBMAFMAKABwAHIAZQB2AF8AcgBvAHcALABTAEUAUQBVAEUATgBDAEUAKAAxACwAYwBvAGwAMgBpAG4AYwAtADEAKQApACwAXABuACAAIAAgACAAIAAgACAAIAAgACAAIAAgACAAIAAgACAAIAAgACAAIABTAEUAUQBVAEUATgBDAEUAKAAxACwAawAtAGMAbwBsADIAaQBuAGMAKwAxACwASQBOAEQARQBYACgAcAByAGUAdgBfAHIAbwB3ACwAMQAsAGMAbwBsADIAaQBuAGMAKQArADEAKQBcAG4AIAAgACAAIAAgACAAIAAgACAAIAAgACAAIAAgACAAIAApAFwAbgAgACAAIAAgACAAIAAgACAAIAAgACAAIAApACwAXABuACAAIAAgACAAIAAgACAAIAAgACAAIAAgAFYAUwBUAEEAQwBLACgAYQBjAGMALABuAGUAdwBfAHIAbwB3ACkAXABuACAAIAAgACAAIAAgACAAIAApACkAXABuACAAIAAgACAAKQApACwAXABuACAAIAAgACAASQBOAEQARQBYACgAYQByAHIAYQB5ACwAYwBvAG0AYgBvAHMAKQBcAG4AIAAgACAAIAApACkAKQApAFwAbgApACkAOwBcAG4AXABuAC8AKgAqAFwAbgAqACAAUgBlAHQAdQByAG4AcwAgAHQAaABlACAAdgBlAGMAdABvAHIAIAB7AG4AdQBtAF8AcgBvAHcAcwA7AG4AdQBtAF8AYwBvAGwAdQBtAG4AcwB9AFwAbgAqAC8AXABuAFMASQBaAEUAIAA9ACAATABBAE0AQgBEAEEAKABhAHIAcgBhAHkALABcAG4AIAAgACAAIABWAFMAVABBAEMASwAoAFIATwBXAFMAKABhAHIAcgBhAHkAKQAsAEMATwBMAFUATQBOAFMAKABhAHIAcgBhAHkAKQApAFwAbgApADsAXABuAC8AKgAqAFwAbgAqACAAUgBlAHQAdQByAG4AcwAgAFQAUgBVAEUAIABpAGYAIABvAG4AZQAgAG8AZgAgAHQAaABlACAAZABpAG0AZQBuAHMAaQBvAG4AcwAgAGkAcwAgADEAXABuACoALwBcAG4ASQBTAFYARQBDAFQATwBSACAAPQAgAEwAQQBNAEIARABBACgAYQByAHIAYQB5ACwAXABuACAAIAAgACAATwBSACgAUgBPAFcAUwAoAGEAcgByAGEAeQApAD0AMQAsAEMATwBMAFUATQBOAFMAKABhAHIAcgBhAHkAKQA9ADEAKQBcAG4AKQA7AFwAbgAvACoAKgBcAG4AKgAgAFIAZQB0AHUAcgBuAHMAIABUAFIAVQBFACAAaQBmACAAYwBvAGwAdQBtAG4AcwA+ADEAIABhAG4AZAAgAHIAbwB3AHMAPgAxAFwAbgAqAC8AXABuAEkAUwBBAFIAUgBBAFkAIAA9ACAATABBAE0AQgBEAEEAKABhAHIAcgBhAHkALABcAG4AIAAgACAAIABPAFIAKABDAE8ATABVAE0ATgBTACgAYQByAHIAYQB5ACkAPgAxACwAUgBPAFcAUwAoAGEAcgByAGEAeQApAD4AMQApAFwAbgApADsAXABuAC8AKgAqAFwAbgAqACAAUgBlAHQAdQByAG4AcwAgAFQAUgBVAEUAIABpAGYAIABjAG8AbAB1AG0AbgBzAD0AMQAgAGEAbgBkACAAcgBvAHcAcwA+ADEAXABuACoALwBcAG4ASQBTAEMATwBMAFUATQBOACAAPQAgAEwAQQBNAEIARABBACgAYQByAHIAYQB5ACwAXABuACAAIAAgACAAQQBOAEQAKABSAE8AVwBTACgAYQByAHIAYQB5ACkAPgAxACwAQwBPAEwAVQBNAE4AUwAoAGEAcgByAGEAeQApAD0AMQApAFwAbgApADsAXABuAC8AKgAqAFwAbgAqACAAUgBlAHQAdQByAG4AcwAgAFQAUgBVAEUAIABpAGYAIABjAG8AbAB1AG0AbgBzAD4AMQAgAGEAbgBkACAAcgBvAHcAcwA9ADEAXABuACoALwBcAG4ASQBTAFIATwBXACAAPQAgAEwAQQBNAEIARABBACgAYQByAHIAYQB5ACwAXABuACAAIAAgACAAQQBOAEQAKABDAE8ATABVAE0ATgBTACgAYQByAHIAYQB5ACkAPgAxACwAUgBPAFcAUwAoAGEAcgByAGEAeQApAD0AMQApAFwAbgApADsAXABuAC8AKgAqAFwAbgAqACAAUgBlAHQAdQByAG4AcwAgAFQAUgBVAEUAIABpAGYAIAB0AGgAZQAgAG0AYQB0AHIAaQB4ACAAaQBzACAAcwB5AG0AbQBlAHQAcgBpAGMAXABuACoALwBcAG4ASQBTAFMAWQBNAE0ARQBUAFIASQBDACAAPQAgAEwAQQBNAEIARABBACgAbQBhAHQAcgBpAHgALABcAG4ATABFAFQAKABkAG8AYwAsAFwAIgBoAHQAdABwAHMAOgAvAC8AdwB3AHcALgB2AGUAcgB0AGUAeAA0ADIALgBjAG8AbQAvAGwAYQBtAGIAZABhAC8AXAAiACwAXABuACAAIAAgACAASQBGACgAUgBPAFcAUwAoAG0AYQB0AHIAaQB4ACkAPAA+AEMATwBMAFUATQBOAFMAKABtAGEAdAByAGkAeAApACwAXABuACAAIAAgACAAIAAgACAAIABcACIARQByAHIAbwByADoAIABtAGEAdAByAGkAeAAgAG4AbwB0ACAAcwBxAHUAYQByAGUAXAAiACwAXABuACAAIAAgACAAIAAgACAAIABTAFUATQAoAC0ALQAoAG0AYQB0AHIAaQB4ADwAPgBUAFIAQQBOAFMAUABPAFMARQAoAG0AYQB0AHIAaQB4ACkAKQApAD0AMABcAG4AIAAgACAAIAApAFwAbgApACkAOwBcAG4ALwAqACoAXABuACoAIABSAGUAdAB1AHIAbgBzACAAVABSAFUARQAgAGkAZgAgAHQAaABlACAAbQBhAHQAcgBpAHgAIABpAHMAIABwAG8AcwBpAHQAaQB2AGUAIABkAGUAZgBpAG4AaQB0AGUAXABuACoAIABDAGgAZQBjAGsAcwAgAGkAZgAgAGEAbABsACAAdQBwAHAAZQByAC0AbABlAGYAdAAgAGQAZQB0AGUAcgBtAGkAbgBhAG4AdABzACAAYQByAGUAIABnAHIAZQBhAHQAZQByACAAdABoAGEAbgAgAHoAZQByAG8AXABuACoALwBcAG4ASQBTAFAATwBTAEQARQBGACAAPQAgAEwAQQBNAEIARABBACgAbQBhAHQAcgBpAHgALABcAG4ATABFAFQAKABkAG8AYwAsAFwAIgBoAHQAdABwAHMAOgAvAC8AdwB3AHcALgB2AGUAcgB0AGUAeAA0ADIALgBjAG8AbQAvAGwAYQBtAGIAZABhAC8AXAAiACwAXABuACAAIAAgACAAUgBFAEQAVQBDAEUAKABUAFIAVQBFACwAUwBFAFEAVQBFAE4AQwBFACgAUgBPAFcAUwAoAG0AYQB0AHIAaQB4ACkAKQAsAEwAQQBNAEIARABBACgAYQBjAGMALABpACwAXABuACAAIAAgACAAIAAgACAAIABBAE4ARAAoAGEAYwBjACwATQBEAEUAVABFAFIATQAoAEMASABPAE8AUwBFAFIATwBXAFMAKABDAEgATwBPAFMARQBDAE8ATABTACgAbQBhAHQAcgBpAHgALABTAEUAUQBVAEUATgBDAEUAKABpACkAKQAsAFMARQBRAFUARQBOAEMARQAoAGkAKQApACkAPgAwACkAXABuACAAIAAgACAAKQApAFwAbgApACkAOwBcAG4AXABuAC8AKgAqAFwAbgAqACAAUgBvAHQAYQB0AGUAIABhAG4AIABhAHIAcgBhAHkAIAA0ADUAIABkAGUAZwByAGUAZQBzACAAYwBvAHUAbgB0AGUAcgBjAGwAbwBjAGsAdwBpAHMAZQAsACAAbQBhAGsAaQBuAGcAIABkAGkAYQBnAG8AbgBhAGwAcwAgAGIAZQBjAG8AbQBlACAAcgBvAHcAcwBcAG4AKgAvAFwAbgAvACoAXABuACoAIABJAG4AcAB1AHQAcwA6AFwAbgAqACAAIAAgAGEAcgByAGEAeQA6ACAAVABoAGUAIAAyAEQAIABhAHIAcgBhAHkAIAB0AG8AIAByAG8AdABhAHQAZQAuAFwAbgAqACAAIAAgAFsAbgBdADoAIAAoAE8AcAB0AGkAbwBuAGEAbAApACAATgB1AG0AYgBlAHIAIABvAGYAIAB0AGkAbQBlAHMAIAB0AG8AIAByAG8AdABhAHQAZQAgAGIAeQAgADQANQAgAGQAZQBnAHIAZQBlAHMAIABjAG8AdQBuAHQAZQByAGMAbABvAGMAawB3AGkAcwBlAC4AIABEAGUAZgBhAHUAbAB0ACAAaQBzACAAMQAuAFwAbgAqACAAIAAgACAAIAAgACAAIABBAGMAYwBlAHAAdABzACAAdgBhAGwAdQBlAHMAIABmAHIAbwBtACAAMQAgAHQAbwAgADgAIABvAHIAIAAtADEAIAB0AG8AIAAtADgAIABmAG8AcgAgAG0AdQBsAHQAaQBwAGwAZQBzACAAbwBmACAANAA1ALAAIAByAG8AdABhAHQAaQBvAG4AcwAgACgAZQAuAGcALgAsACAAMQA9ADQANQCwACwAIAAyAD0AOQAwALAAKQAuAFwAbgAqACAAIAAgACAAIAAgACAAIABUAGgAZQAgAHIAbwB0AGEAdABpAG8AbgAgAGkAcwAgAG0AbwBkAHUAbABhAHIALAAgAHMAbwAgAHYAYQBsAHUAZQBzACAAYgBlAHkAbwBuAGQAIAA4ACAAYQByAGUAIAByAGUAZAB1AGMAZQBkACAAdABvACAAdABoAGUAaQByACAAcgBlAG0AYQBpAG4AZABlAHIAIABtAG8AZAB1AGwAbwAgADgALgBcAG4AKgAgACAAIABbAGYAaQBsAGwAXwB3AGkAdABoAF0AOgAgACgATwBwAHQAaQBvAG4AYQBsACkAIABDAGgAbwBvAHMAZQAgAHQAbwAgAGYAaQBsAGwAIABlAG0AcAB0AHkAIABzAHAAYQBjAGUAcwAgAHcAaQB0AGgAIABhACAAdgBhAGwAdQBlAC4AIABEAGUAZgBhAHUAbAB0ACAAaQBzACAATgBBACgAKQAuAFwAbgAqAFwAbgAqACAATwB1AHQAcAB1AHQAcwA6ACAAXABuACoAIAAgACAALQAgAFIAZQB0AHUAcgBuAHMAIAB0AGgAZQAgAHIAbwB0AGEAdABlAGQAIABhAHIAcgBhAHkALAAgAGQAZQBwAGUAbgBkAGkAbgBnACAAbwBuACAAdABoAGUAIABuAHUAbQBiAGUAcgAgAG8AZgAgAHIAbwB0AGEAdABpAG8AbgBzAC4AXABuACoAIAAgACAALQAgAEYAbwByACAAbwBkAGQAIAByAG8AdABhAHQAaQBvAG4AcwAgACgAZQAuAGcALgAsACAANAA1ALAAIABvAHIAIAAxADMANQCwACkALAAgAGQAaQBhAGcAbwBuAGEAbABzACAAYgBlAGMAbwBtAGUAIAByAG8AdwBzACAAYQBuAGQAIABjAG8AbAB1AG0AbgBzAC4AXABuACoAIAAgACAALQAgAEYAbwByACAAZQB2AGUAbgAgAHIAbwB0AGEAdABpAG8AbgBzACAAKABlAC4AZwAuACwAIAA5ADAAsAAgAG8AcgAgADEAOAAwALAAKQAsACAAdQBzAGUAcwAgAHQAaABlACAAUgBPAFQAXwA5ADAAIABmAHUAbgBjAHQAaQBvAG4ALgBcAG4AKgBcAG4AKgAgAE4AbwB0AGUAcwA6AFwAbgAqACAAIAAgAC0AIABVAHMAZQBzACAAbQBvAGQAdQBsAGEAcgAgAHIAbwB0AGEAdABpAG8AbgAgAGwAbwBnAGkAYwAgAHQAbwAgAGgAYQBuAGQAbABlACAAcgBvAHQAYQB0AGkAbwBuAHMAIABiAGUAeQBvAG4AZAAgADMANgAwALAAIAAoAGUALgBnAC4ALAAgADkAIAA9ACAANAA1ALAAKQAuAFwAbgAqACAAIAAgAC0AIABFAG0AcAB0AHkAIABzAHAAYQBjAGUAcwAgAGEAcgBlACAAZgBpAGwAbABlAGQAIAB3AGkAdABoACAAIwBOAC8AQQAuAFwAbgAqACAAIAAgAC0AIABSAGUAcQB1AGkAcgBlAHMAIABzAHUAcABwAG8AcgB0AGkAbgBnACAAZgB1AG4AYwB0AGkAbwBuAHMAIABgAFIATwBUAF8AOQAwAGAAIABhAG4AZAAgAGAARgBMAEkAUABMAFIAYAAuAFwAbgAqACAAIAAgAC0AIABJAE0AUABPAFIAVABBAE4AVAA6ACAAVABoAGkAcwAgAGEAbABnAG8AcgBpAHQAaABtACAAZABvAGUAcwAgAG4AbwB0ACAAdwBvAHIAawAgAGkAbgAgAHMAZQBxAHUAZQBuAGMAZQAuACAAUgBPAFQAXwA0ADUAKABSAE8AVABfADQANQAoAGEAcgByAGEAeQApACkAIABpAHMAIABuAG8AdAAgAFIATwBUAF8AOQAwACgAYQByAHIAYQB5ACkALgBcAG4AKgAvAFwAbgBSAE8AVABfADQANQAgAD0AIABMAEEATQBCAEQAQQAoAGEAcgByAGEAeQAsACAAWwBuAF0ALAAgAFsAZgBpAGwAbABfAHcAaQB0AGgAXQAsAFwAbgBMAEUAVAAoAGQAbwBjACwAIABcACIAaAB0AHQAcABzADoALwAvAHcAdwB3AC4AdgBlAHIAdABlAHgANAAyAC4AYwBvAG0ALwBsAGEAbQBiAGQAYQAvAHIAbwB0AF8ANAA1AC4AaAB0AG0AbABcACIALABcAG4AIAAgACAAIAB2AGUAcgBzAGkAbwBuACwAXAAiADEALgAwAC4AMAAgADEALwAxADMALwAyADAAMgA1ACAALQAgAE8AcgBpAGcAaQBuAGEAbAAgAHYAZQByAHMAaQBvAG4AXAAiACwAXABuACAAIAAgACAALwAvACAARABlAGYAYQB1AGwAdAAgAHYAYQBsAHUAZQBzACAAZgBvAHIAIABvAHAAdABpAG8AbgBhAGwAIABwAGEAcgBhAG0AZQB0AGUAcgBzAFwAbgAgACAAIAAgAG4ALAAgAEkARgAoAEkAUwBCAEwAQQBOAEsAKABuACkALAAgADEALAAgAE0ATwBEACgAbgAsACAAOAApACkALAAgAC8ALwAgAFIAbwB0AGEAdABpAG8AbgBzACAAYwB5AGMAbABlACAAZQB2AGUAcgB5ACAAOAAgAHMAdABlAHAAcwBcAG4AXABuACAAIAAgACAALwAvACAAQQByAHIAYQB5ACAAZABpAG0AZQBuAHMAaQBvAG4AcwBcAG4AIAAgACAAIAByAG8AdwBzACwAIABSAE8AVwBTACgAYQByAHIAYQB5ACkALABcAG4AIAAgACAAIABjAG8AbABzACwAIABDAE8ATABVAE0ATgBTACgAYQByAHIAYQB5ACkALABcAG4AIAAgACAAIABuAGUAdwBfAGgAZQBpAGcAaAB0ACwAIAByAG8AdwBzACAAKwAgAGMAbwBsAHMAIAAtACAAMQAsAFwAbgBcAG4AIAAgACAAIAAvAC8AIABHAGUAbgBlAHIAYQB0AGUAIAB0AGgAZQAgAHIAbwB0AGEAdABlAGQAIABhAHIAcgBhAHkAIABiAGEAcwBlAGQAIABvAG4AIAB0AGgAZQAgAHIAbwB0AGEAdABpAG8AbgAgAHMAdABlAHAAIAAoAG4AKQBcAG4AIAAgACAAIAByAG8AdABhAHQAZQBkACwAIABTAFcASQBUAEMASAAoAG4ALABcAG4AIAAgACAAIAAgACAAIAAgAC8ALwAgADQANQCwACAAYwBvAHUAbgB0AGUAcgBjAGwAbwBjAGsAdwBpAHMAZQAgAHIAbwB0AGEAdABpAG8AbgBcAG4AIAAgACAAIAAgACAAIAAgADEALAAgAE0AQQBLAEUAQQBSAFIAQQBZACgAbgBlAHcAXwBoAGUAaQBnAGgAdAAsACAAYwBvAGwAcwAsAFwAbgAgACAAIAAgACAAIAAgACAAIAAgACAAIAAgACAAIAAgAEwAQQBNAEIARABBACgAcgAsACAAYwAsAFwAbgAgACAAIAAgACAAIAAgACAAIAAgACAAIAAgACAAIAAgACAAIAAgACAASQBGAEUAUgBSAE8AUgAoAEkATgBEAEUAWAAoAGEAcgByAGEAeQAsACAASQBGACgAcgAgAC0AIABjAG8AbABzACAAKwAgAGMAIAA9ACAAMAAsACAALQAxACwAIAByACAALQAgAGMAbwBsAHMAIAArACAAYwApACwAIABjACkALAAgAE4AQQAoACkAKQBcAG4AIAAgACAAIAAgACAAIAAgACAAIAAgACAAIAAgACAAIAApAFwAbgAgACAAIAAgACAAIAAgACAAIAAgACAAIAApACwAXABuACAAIAAgACAAIAAgACAAIAAvAC8AIAA5ADAAsAAgAHIAbwB0AGEAdABpAG8AbgBcAG4AIAAgACAAIAAgACAAIAAgADIALAAgAFIATwBUAF8AOQAwACgAYQByAHIAYQB5ACwAIAAxACkALABcAG4AIAAgACAAIAAgACAAIAAgAC8ALwAgADEAMwA1ALAAIABjAG8AdQBuAHQAZQByAGMAbABvAGMAawB3AGkAcwBlACAAcgBvAHQAYQB0AGkAbwBuAC4AIABTAGEAbQBlACAAYQBzACAAMwAxADUAsAAgAGYAbABpAHAAcABlAGQALgBcAG4AIAAgACAAIAAgACAAIAAgADMALAAgAEYATABJAFAATABSACgATQBBAEsARQBBAFIAUgBBAFkAKABuAGUAdwBfAGgAZQBpAGcAaAB0ACwAIABjAG8AbABzACwAXABuACAAIAAgACAAIAAgACAAIAAgACAAIAAgACAAIAAgACAATABBAE0AQgBEAEEAKAByACwAIABjACwAXABuACAAIAAgACAAIAAgACAAIAAgACAAIAAgACAAIAAgACAAIAAgACAAIABJAEYARQBSAFIATwBSACgASQBOAEQARQBYACgAYQByAHIAYQB5ACwAIABJAEYAKAByACAALQAgAGMAIAArACAAMQAgAD0AIAAwACwAIAAtADEALAAgAHIAIAAtACAAYwAgACsAIAAxACkALAAgAGMAKQAsACAATgBBACgAKQApAFwAbgAgACAAIAAgACAAIAAgACAAIAAgACAAIAAgACAAIAAgACkAXABuACAAIAAgACAAIAAgACAAIAAgACAAIAAgACkAKQAsAFwAbgAgACAAIAAgACAAIAAgACAALwAvACAAMQA4ADAAsAAgAHIAbwB0AGEAdABpAG8AbgBcAG4AIAAgACAAIAAgACAAIAAgADQALAAgAFIATwBUAF8AOQAwACgAYQByAHIAYQB5ACwAIAAyACkALABcAG4AIAAgACAAIAAgACAAIAAgAC8ALwAgADIAMgA1ALAAIABjAG8AdQBuAHQAZQByAGMAbABvAGMAawB3AGkAcwBlACAAcgBvAHQAYQB0AGkAbwBuAC4AIABTAGEAbQBlACAAYQBzACAANAA1ALAAIABmAGwAaQBwAHAAZQBkAC4AXABuACAAIAAgACAAIAAgACAAIAA1ACwAIABGAEwASQBQAEwAUgAoAE0AQQBLAEUAQQBSAFIAQQBZACgAbgBlAHcAXwBoAGUAaQBnAGgAdAAsACAAYwBvAGwAcwAsAFwAbgAgACAAIAAgACAAIAAgACAAIAAgACAAIAAgACAAIAAgAEwAQQBNAEIARABBACgAcgAsACAAYwAsAFwAbgAgACAAIAAgACAAIAAgACAAIAAgACAAIAAgACAAIAAgACAAIAAgACAASQBGAEUAUgBSAE8AUgAoAEkATgBEAEUAWAAoAGEAcgByAGEAeQAsACAASQBGACgAcgAgAC0AIABjAG8AbABzACAAKwAgAGMAIAA9ACAAMAAsACAALQAxACwAIAByACAALQAgAGMAbwBsAHMAIAArACAAYwApACwAIABjACkALAAgAE4AQQAoACkAKQBcAG4AIAAgACAAIAAgACAAIAAgACAAIAAgACAAIAAgACAAIAApAFwAbgAgACAAIAAgACAAIAAgACAAIAAgACAAIAApACkALABcAG4AIAAgACAAIAAgACAAIAAgAC8ALwAgADIANwAwALAAIAByAG8AdABhAHQAaQBvAG4AXABuACAAIAAgACAAIAAgACAAIAA2ACwAIABSAE8AVABfADkAMAAoAGEAcgByAGEAeQAsACAAMwApACwAXABuACAAIAAgACAAIAAgACAAIAAvAC8AIAAzADEANQCwACAAYwBvAHUAbgB0AGUAcgBjAGwAbwBjAGsAdwBpAHMAZQAgAHIAbwB0AGEAdABpAG8AbgBcAG4AIAAgACAAIAAgACAAIAAgADcALAAgAE0AQQBLAEUAQQBSAFIAQQBZACgAbgBlAHcAXwBoAGUAaQBnAGgAdAAsACAAYwBvAGwAcwAsAFwAbgAgACAAIAAgACAAIAAgACAAIAAgACAAIAAgACAAIAAgAEwAQQBNAEIARABBACgAcgAsACAAYwAsAFwAbgAgACAAIAAgACAAIAAgACAAIAAgACAAIAAgACAAIAAgACAAIAAgACAASQBGAEUAUgBSAE8AUgAoAEkATgBEAEUAWAAoAGEAcgByAGEAeQAsACAASQBGACgAcgAgAC0AIABjACAAKwAgADEAIAA9ACAAMAAsACAALQAxACwAIAByACAALQAgAGMAIAArACAAMQApACwAIABjACkALAAgAE4AQQAoACkAKQBcAG4AIAAgACAAIAAgACAAIAAgACAAIAAgACAAIAAgACAAIAApAFwAbgAgACAAIAAgACAAIAAgACAAIAAgACAAIAApACwAXABuACAAIAAgACAAIAAgACAAIAAvAC8AIAAwALAAIABvAHIAIAAzADYAMACwACAAagB1AHMAdAAgAHIAZQB0AHUAcgBuAHMAIAB0AGgAZQAgAG8AcgBpAGcAaQBuAGEAbAAgAGEAcgByAGEAeQBcAG4AIAAgACAAIAAgACAAIAAgAGEAcgByAGEAeQBcAG4AIAAgACAAIAApACwAXABuACAAIAAgACAAcgBlAHMAdQBsAHQALABJAEYAKABJAFMATwBNAEkAVABUAEUARAAoAGYAaQBsAGwAXwB3AGkAdABoACkALAAgAHIAbwB0AGEAdABlAGQALAAgAEkARgBOAEEAKAByAG8AdABhAHQAZQBkACwAIABmAGkAbABsAF8AdwBpAHQAaAApACkALABcAG4AIAAgACAAIAByAGUAcwB1AGwAdABcAG4AKQApADsAXABuAFwAbgBcAG4ALwAqACAAKgAqACoAKgAqACoAKgAqACoAKgAqACoAKgAqACoAKgBcAG4AKgAgAE0AQQBUAFIASQBYACAARgBPAFIATQBVAEwAQQBTAFwAbgAqACoAKgAqACoAKgAqACoAKgAqACoAKgAqACoAKgAqACoAKgAqACAAKgAvAFwAbgBcAG4ALwAqACoAXABuACoAIABPAE4ARQBTACgAYQByAHIAYQB5ACkAIAA6ADoAIABSAGUAdAB1AHIAbgBzACAAYQAgAG0AYQB0AHIAaQB4ACAAbwBmACAAMQBzACAAdABoAGUAIABzAGkAegBlACAAbwBmACAAYQByAHIAYQB5AFwAbgAqACAATwBOAEUAUwAoAG0ALABbAG4AXQApACAAOgA6ACAAUgBlAHQAdQByAG4AcwAgAGEAIABtAGEAdAByAGkAeAAgAG8AZgAgADEAcwAgAHQAaABlACAAcwBpAHoAZQAgAG8AZgAgAG0AIAB4ACAAbgAgACgAZABlAGYAYQB1AGwAdAAgAG4APQAxACkAXABuACoALwBcAG4ATwBOAEUAUwAgAD0AIABMAEEATQBCAEQAQQAoAG0AXwByAG8AdwBzACwAWwBuAF8AYwBvAGwAdQBtAG4AcwBdACwAXABuAEwARQBUACgAZABvAGMALABcACIAaAB0AHQAcABzADoALwAvAHcAdwB3AC4AdgBlAHIAdABlAHgANAAyAC4AYwBvAG0ALwBsAGEAbQBiAGQAYQAvAG8AbgBlAHMALQBhAG4AZAAtAHoAZQByAG8AcwAuAGgAdABtAGwAXAAiACwAXABuACAAIAAgACAAcgBvAHcAcwAsAFIATwBXAFMAKABtAF8AcgBvAHcAcwApACwAYwBvAGwAcwAsAEMATwBMAFUATQBOAFMAKABtAF8AcgBvAHcAcwApACwAXABuACAAIAAgACAASQBGACgATwBSACgAcgBvAHcAcwA+ADEALABjAG8AbABzAD4AMQApACwAXABuACAAIAAgACAAIAAgACAAIABTAEUAUQBVAEUATgBDAEUAKAByAG8AdwBzACwAYwBvAGwAcwAsADEALAAwACkALABcAG4AIAAgACAAIAAgACAAIAAgAEkARgAoAEkAUwBPAE0ASQBUAFQARQBEACgAbgBfAGMAbwBsAHUAbQBuAHMAKQAsAFwAbgAgACAAIAAgACAAIAAgACAAIAAgACAAIABTAEUAUQBVAEUATgBDAEUAKABtAF8AcgBvAHcAcwAsADEALAAxACwAMAApACwAXABuACAAIAAgACAAIAAgACAAIAAgACAAIAAgAFMARQBRAFUARQBOAEMARQAoAG0AXwByAG8AdwBzACwAbgBfAGMAbwBsAHUAbQBuAHMALAAxACwAMAApAFwAbgAgACAAIAAgACAAIAAgACAAKQBcAG4AIAAgACAAIAApAFwAbgApACkAOwBcAG4ALwAqACoAXABuACoAIABaAEUAUgBPAFMAKABhAHIAcgBhAHkAKQAgADoAOgAgAFIAZQB0AHUAcgBuAHMAIABhACAAbQBhAHQAcgBpAHgAIABvAGYAIAAwAHMAIAB0AGgAZQAgAHMAaQB6AGUAIABvAGYAIABhAHIAcgBhAHkAXABuACoAIABaAEUAUgBPAFMAKABtACwAWwBuAF0AKQAgADoAOgAgAFIAZQB0AHUAcgBuAHMAIABhACAAbQBhAHQAcgBpAHgAIABvAGYAIAAwAHMAIAB0AGgAZQAgAHMAaQB6AGUAIABvAGYAIABtACAAeAAgAG4AIAAoAGQAZQBmAGEAdQBsAHQAIABuAD0AMQApAFwAbgAqAC8AXABuAFoARQBSAE8AUwAgAD0AIABMAEEATQBCAEQAQQAoAG0AXwByAG8AdwBzACwAWwBuAF8AYwBvAGwAdQBtAG4AcwBdACwAXABuAEwARQBUACgAZABvAGMALABcACIAaAB0AHQAcABzADoALwAvAHcAdwB3AC4AdgBlAHIAdABlAHgANAAyAC4AYwBvAG0ALwBsAGEAbQBiAGQAYQAvAG8AbgBlAHMALQBhAG4AZAAtAHoAZQByAG8AcwAuAGgAdABtAGwAXAAiACwAXABuACAAIAAgACAAcgBvAHcAcwAsAFIATwBXAFMAKABtAF8AcgBvAHcAcwApACwAYwBvAGwAcwAsAEMATwBMAFUATQBOAFMAKABtAF8AcgBvAHcAcwApACwAXABuACAAIAAgACAASQBGACgATwBSACgAcgBvAHcAcwA+ADEALABjAG8AbABzAD4AMQApACwAXABuACAAIAAgACAAIAAgACAAIABTAEUAUQBVAEUATgBDAEUAKAByAG8AdwBzACwAYwBvAGwAcwAsADAALAAwACkALABcAG4AIAAgACAAIAAgACAAIAAgAEkARgAoAEkAUwBPAE0ASQBUAFQARQBEACgAbgBfAGMAbwBsAHUAbQBuAHMAKQAsAFwAbgAgACAAIAAgACAAIAAgACAAIAAgACAAIABTAEUAUQBVAEUATgBDAEUAKABtAF8AcgBvAHcAcwAsADEALAAwACwAMAApACwAXABuACAAIAAgACAAIAAgACAAIAAgACAAIAAgAFMARQBRAFUARQBOAEMARQAoAG0AXwByAG8AdwBzACwAbgBfAGMAbwBsAHUAbQBuAHMALAAwACwAMAApAFwAbgAgACAAIAAgACAAIAAgACAAKQBcAG4AIAAgACAAIAApAFwAbgApACkAOwBcAG4ALwAqACoAXABuACoAIABDAG8AbgB2AGUAcgB0ACAAYQAgAHYAZQBjAHQAbwByACAAdABvACAAYQAgAEQAaQBhAGcAbwBuAGEAbAAgAG0AYQB0AHIAaQB4ACAAbwByACAAdgBpAGMAZQAgAHYAZQByAHMAYQBcAG4AKgAvAFwAbgBEAEkAQQBHACAAPQAgAEwAQQBNAEIARABBACgAYQByAHIAYQB5ACwAXABuAEwARQBUACgAZABvAGMALABcACIAaAB0AHQAcABzADoALwAvAHcAdwB3AC4AdgBlAHIAdABlAHgANAAyAC4AYwBvAG0ALwBsAGEAbQBiAGQAYQAvAGQAaQBhAGcALgBoAHQAbQBsAFwAIgAsAFwAbgAgACAAIAAgAHIALAAgAFIATwBXAFMAKABhAHIAcgBhAHkAKQAsAFwAbgAgACAAIAAgAGMALAAgAEMATwBMAFUATQBOAFMAKABhAHIAcgBhAHkAKQAsAFwAbgAgACAAIAAgAEkARgAoAGMAPQAxACwAXABuACAAIAAgACAAIAAgACAAIABNAEEASwBFAEEAUgBSAEEAWQAoAHIALAByACwATABBAE0AQgBEAEEAKABpACwAagAsAEkARgAoAGkAPQBqACwASQBOAEQARQBYACgAYQByAHIAYQB5ACwAaQApACwAMAApACkAKQAsAFwAbgAgACAAIAAgACAAIAAgACAASQBGACgAcgAgADwAPgAgAGMALAAgAFwAIgBFAHIAcgBvAHIAOgAgAE4AbwB0ACAAUwBxAHUAYQByAGUAXAAiACwAXABuACAAIAAgACAAIAAgACAAIABNAEEASwBFAEEAUgBSAEEAWQAoAHIALAAxACwATABBAE0AQgBEAEEAKABpACwAagAsAEkATgBEAEUAWAAoAGEAcgByAGEAeQAsAGkALABpACkAKQApAFwAbgAgACAAIAAgACAAIAAgACAAKQBcAG4AIAAgACAAIAApAFwAbgApACkAOwBcAG4ALwAqACoAXABuACoAIABTAHUAbQAgAG8AZgAgAHQAaABlACAARABpAGEAZwBvAG4AYQBsACAAbwBmACAAYQAgAHMAcQB1AGEAcgBlACAAbQBhAHQAcgBpAHgAXABuACoALwBcAG4AVABSAEEAQwBFACAAPQAgAEwAQQBNAEIARABBACgAbQBhAHQAcgBpAHgALABcAG4ATABFAFQAKABkAG8AYwAsAFwAIgBoAHQAdABwAHMAOgAvAC8AdwB3AHcALgB2AGUAcgB0AGUAeAA0ADIALgBjAG8AbQAvAGwAYQBtAGIAZABhAC8AZABpAGEAZwAuAGgAdABtAGwAXAAiACwAXABuACAAIAAgACAAUwBVAE0AKAAgAG0AYQB0AHIAaQB4ACoATQBVAE4ASQBUACgAUgBPAFcAUwAoAG0AYQB0AHIAaQB4ACkAKQApAFwAbgApACkAOwBcAG4ALwAqACoAXABuACoAIABSAGUAdAB1AHIAbgBzACAAYQAgAGMAbwBsAHUAbQBuACAAdgBlAGMAdABvAHIAIABjAG8AbgB0AGEAaQBuAGkAbgBnACAAcgBvAHcAIABzAHUAbQBzAFwAbgAqAC8AXABuAFIATwBXAFMAVQBNACAAPQAgAEwAQQBNAEIARABBACgAbQBhAHQAcgBpAHgALABcAG4ATABFAFQAKABkAG8AYwAsAFwAIgBoAHQAdABwAHMAOgAvAC8AdwB3AHcALgB2AGUAcgB0AGUAeAA0ADIALgBjAG8AbQAvAGwAYQBtAGIAZABhAC8AcgBvAHcAcwB1AG0ALQBhAG4AZAAtAGMAbwBsAHMAdQBtAC4AaAB0AG0AbABcACIALABcAG4AIAAgACAAIABCAFkAUgBPAFcAKABtAGEAdAByAGkAeAAsAEwAQQBNAEIARABBACgAcgBvAHcALABTAFUATQAoAHIAbwB3ACkAKQApAFwAbgApACkAOwBcAG4ALwAqACoAXABuACoAIABSAGUAdAB1AHIAbgBzACAAYQAgAHIAbwB3ACAAdgBlAGMAdABvAHIAIABjAG8AbgB0AGEAaQBuAGkAbgBnACAAYwBvAGwAdQBtAG4AIABzAHUAbQBzAFwAbgAqAC8AXABuAEMATwBMAFMAVQBNACAAPQAgAEwAQQBNAEIARABBACgAbQBhAHQAcgBpAHgALABcAG4ATABFAFQAKABkAG8AYwAsAFwAIgBoAHQAdABwAHMAOgAvAC8AdwB3AHcALgB2AGUAcgB0AGUAeAA0ADIALgBjAG8AbQAvAGwAYQBtAGIAZABhAC8AcgBvAHcAcwB1AG0ALQBhAG4AZAAtAGMAbwBsAHMAdQBtAC4AaAB0AG0AbABcACIALABcAG4AIAAgACAAIABCAFkAQwBPAEwAKABtAGEAdAByAGkAeAAsAEwAQQBNAEIARABBACgAYwBvAGwALABTAFUATQAoAGMAbwBsACkAKQApAFwAbgApACkAOwBcAG4ALwAqACoAXABuACoAIABSAGUAdAB1AHIAbgBzACAAdABoAGUAIABzAHUAbQAgAG8AZgAgAHQAaABlACAAZQBsAGUAbQBlAG4AdAAtAHcAaQBzAGUAIABtAHUAbAB0AGkAcABsAGkAYwBhAHQAaQBvAG4AIABvAGYAIAB0AHcAbwAgAHYAZQBjAHQAbwByAHMAXABuACoAIABvAHIAIAB0AGgAZQAgAGMAbwBsAHUAbQBuACAAcwB1AG0AIABvAGYAIAB0AGgAZQAgAGUAbABlAG0AZQBuAHQALQB3AGkAcwBlACAAbQB1AGwAdABpAHAAbABpAGMAYQB0AGkAbwBuACAAbwBmACAAdAB3AG8AIABtAGEAdAByAGkAYwBlAHMAXABuACoALwBcAG4ARABPAFQAIAA9ACAATABBAE0AQgBEAEEAKABhACwAYgAsAFwAbgBMAEUAVAAoAGQAbwBjACwAXAAiAGgAdAB0AHAAcwA6AC8ALwB3AHcAdwAuAHYAZQByAHQAZQB4ADQAMgAuAGMAbwBtAC8AbABhAG0AYgBkAGEALwBkAG8AdAAuAGgAdABtAGwAXAAiACwAXABuACAAIAAgACAAYQAsAEkARgAoAEEATgBEACgAUgBPAFcAUwAoAGEAKQA9ADEALABDAE8ATABVAE0ATgBTACgAYQApAD4AMQApACwAVABSAEEATgBTAFAATwBTAEUAKABhACkALABhACkALABcAG4AIAAgACAAIABiACwASQBGACgAQQBOAEQAKABSAE8AVwBTACgAYgApAD0AMQAsAEMATwBMAFUATQBOAFMAKABiACkAPgAxACkALABUAFIAQQBOAFMAUABPAFMARQAoAGIAKQAsAGIAKQAsAFwAbgAgACAAIAAgAEkARgAoAE8AUgAoAFIATwBXAFMAKABhACkAPAA+AFIATwBXAFMAKABiACkALABDAE8ATABVAE0ATgBTACgAYQApADwAPgBDAE8ATABVAE0ATgBTACgAYgApACkALABcAG4AIAAgACAAIAAgACAAIAAgAFwAIgBFAHIAcgBvAHIAOgAgAGEAIABhAG4AZAAgAGIAIABtAHUAcwB0ACAAYgBlACAAdABoAGUAIABzAGEAbQBlACAAcwBpAHoAZQBcACIALABcAG4AIAAgACAAIAAgACAAIAAgAEIAWQBDAE8ATAAoAGEAKgBiACwATABBAE0AQgBEAEEAKABjAG8AbAAsAFMAVQBNACgAYwBvAGwAKQApACkAXABuACAAIAAgACAAKQBcAG4AKQApADsAXABuAC8AKgAqAFwAbgAqACAAUgBlAHQAdQByAG4AcwAgAHQAaABlACAAQwByAG8AcwBzACAAUAByAG8AZAB1AGMAdAAgAG8AZgAgAHQAdwBvACAAMwB4ADEAIAB2AGUAYwB0AG8AcgBzACAAYQAgAGEAbgBkACAAYgAuAFwAbgAqAC8AXABuAEMAUgBPAFMAUwAgAD0AIABMAEEATQBCAEQAQQAoAHYAZQBjAHQAbwByAF8AYQAsAHYAZQBjAHQAbwByAF8AYgAsAFwAbgBMAEUAVAAoAGQAbwBjACwAXAAiAGgAdAB0AHAAcwA6AC8ALwB3AHcAdwAuAHYAZQByAHQAZQB4ADQAMgAuAGMAbwBtAC8AbABhAG0AYgBkAGEALwBjAHIAbwBzAHMALgBoAHQAbQBsAFwAIgAsAFwAbgAgACAAIAAgAHQAbwBDAG8AbABWAGUAYwAzACwATABBAE0AQgBEAEEAKAB2AGUAYwAsAEwARQBUACgAXABuACAAIAAgACAAIAAgACAAIABjAHYAZQBjACwASQBGACgAQQBOAEQAKABSAE8AVwBTACgAdgBlAGMAKQA9ADEALABDAE8ATABVAE0ATgBTACgAdgBlAGMAKQA+ADEAKQAsAFQAUgBBAE4AUwBQAE8AUwBFACgAdgBlAGMAKQAsAHYAZQBjACkALABcAG4AIAAgACAAIAAgACAAIAAgAEkARgAoAFIATwBXAFMAKABjAHYAZQBjACkAPQAyACwAVgBTAFQAQQBDAEsAKABjAHYAZQBjACwAMAApACwAYwB2AGUAYwApAFwAbgAgACAAIAAgACkAKQAsAFwAbgAgACAAIAAgAHYAZQBjAF8AYQAsAHQAbwBDAG8AbABWAGUAYwAzACgAdgBlAGMAdABvAHIAXwBhACkALABcAG4AIAAgACAAIAB2AGUAYwBfAGIALAB0AG8AQwBvAGwAVgBlAGMAMwAoAHYAZQBjAHQAbwByAF8AYgApACwAXABuACAAIAAgACAAYQByAHIALABWAFMAVABBAEMASwAoAFQAUgBBAE4AUwBQAE8AUwBFACgAdgBlAGMAXwBhACkALABUAFIAQQBOAFMAUABPAFMARQAoAHYAZQBjAF8AYgApACkALABcAG4AIAAgACAAIABJAEYAKAAgAE8AUgAoAFIATwBXAFMAKAB2AGUAYwBfAGEAKQA8AD4AMwAsAFIATwBXAFMAKAB2AGUAYwBfAGIAKQA8AD4AMwAsAEMATwBMAFUATQBOAFMAKAB2AGUAYwBfAGEAKQA+ADEALABDAE8ATABVAE0ATgBTACgAdgBlAGMAXwBiACkAPgAxACkALABcAG4AIAAgACAAIAAgACAAIAAgAFwAIgBFAHIAcgBvAHIAIABpAG4AIAB2AGUAYwB0AG8AcgAgAHMAaQB6AGUAXAAiACwAXABuACAAIAAgACAAIAAgACAAIABWAFMAVABBAEMASwAoAFwAbgAgACAAIAAgACAAIAAgACAAIAAgACAAIABNAEQARQBUAEUAUgBNACgAQwBIAE8ATwBTAEUAQwBPAEwAUwAoAGEAcgByACwAMgAsADMAKQApACwAXABuACAAIAAgACAAIAAgACAAIAAgACAAIAAgAE0ARABFAFQARQBSAE0AKABDAEgATwBPAFMARQBDAE8ATABTACgAYQByAHIALAAzACwAMQApACkALABcAG4AIAAgACAAIAAgACAAIAAgACAAIAAgACAATQBEAEUAVABFAFIATQAoAEMASABPAE8AUwBFAEMATwBMAFMAKABhAHIAcgAsADEALAAyACkAKQBcAG4AIAAgACAAIAAgACAAIAAgACkAXABuACAAIAAgACAAKQBcAG4AKQApADsAXABuAC8AKgAqAFwAbgAqACAAUgBlAHQAdQByAG4AcwAgAHQAaABlACAAbQBhAGcAbgBpAHQAdQBkAGUAIAAoADIALQBuAG8AcgBtACkAIABvAGYAIABhACAAdgBlAGMAdABvAHIAIABvAHIAIAB0AGgAZQAgAG0AYQBnAG4AaQB0AHUAZABlACAAbwBmACAAZQBhAGMAaAAgAGMAbwBsAHUAbQBuACAAbwBmACAAYQAgAG0AYQB0AHIAaQB4AFwAbgAqAC8AXABuAE0AQQBHAE4ASQBUAFUARABFACAAPQAgAEwAQQBNAEIARABBACgAdgBlAGMAdABvAHIALABcAG4ATABFAFQAKABkAG8AYwAsAFwAIgBoAHQAdABwAHMAOgAvAC8AdwB3AHcALgB2AGUAcgB0AGUAeAA0ADIALgBjAG8AbQAvAGwAYQBtAGIAZABhAC8AbQBhAGcAbgBpAHQAdQBkAGUALgBoAHQAbQBsAFwAIgAsAFwAbgAgACAAIAAgAHYAZQBjACwASQBGACgAQQBOAEQAKABSAE8AVwBTACgAdgBlAGMAdABvAHIAKQA9ADEALABDAE8ATABVAE0ATgBTACgAdgBlAGMAdABvAHIAKQA+ADEAKQAsAFQAUgBBAE4AUwBQAE8AUwBFACgAdgBlAGMAdABvAHIAKQAsAHYAZQBjAHQAbwByACkALABcAG4AIAAgACAAIABJAEYAKABDAE8ATABVAE0ATgBTACgAdgBlAGMAKQA+ADEALABcAG4AIAAgACAAIAAgACAAIAAgAFMAUQBSAFQAKABDAE8ATABTAFUATQAoAHYAZQBjACoAdgBlAGMAKQApACwAXABuACAAIAAgACAAIAAgACAAIABTAFEAUgBUACgAUwBVAE0AKAB2AGUAYwAqAHYAZQBjACkAKQBcAG4AIAAgACAAIAApAFwAbgApACkAOwBcAG4ALwAqACoAXABuACoAIABSAGUAdAB1AHIAbgBzACAAYQAgAFAAYQBzAGMAYQBsACAAbQBhAHQAcgBpAHgAIABvAGYAIABzAGkAegBlACAAbgB4AG4ALgAgAE8AcAB0AGkAbwBuAGEAbABsAHkAIABzAHAAZQBjAGkAZgB5AFwAbgAqACAAdAB5AHAAZQA9AFwAIgBMAFwAIgAgAG8AcgAgAHQAeQBwAGUAPQBcACIAVQBcACIAIABmAG8AcgAgAHQAaABlACAAbABvAHcAZQByACAAbwByACAAdQBwAHAAZQByACAAdAByAGkAYQBuAGcAbABlACAAZgBvAHIAbQAuAFwAbgAqAC8AXABuAFAAQQBTAEMAQQBMACAAPQAgAEwAQQBNAEIARABBACgAbgAsAFsAdAB5AHAAZQBdACwAXABuAEwARQBUACgAZABvAGMALABcACIAaAB0AHQAcABzADoALwAvAHcAdwB3AC4AdgBlAHIAdABlAHgANAAyAC4AYwBvAG0ALwBsAGEAbQBiAGQAYQAvAHAAYQBzAGMAYQBsAC4AaAB0AG0AbABcACIALABcAG4ASQBGACgAbgA8ADIALABcACIARQByAHIAbwByADoAbgA8ADIAXAAiACwAXABuACAAIAAgACAAUwBXAEkAVABDAEgAKAB0AHkAcABlACwAXABuACAAIAAgACAAXAAiAEwAXAAiACwATQBBAEsARQBBAFIAUgBBAFkAKABuACwAbgAsAEwAQQBNAEIARABBACgAcgAsAGMALABMAEUAVAAoAGkALAByAC0AMQAsAGoALABjAC0AMQAsAFwAbgAgACAAIAAgACAAIAAgACAASQBGACgAagA8AD0AaQAsAEYAQQBDAFQAKABpACkALwAoAEYAQQBDAFQAKABqACkAKgBGAEEAQwBUACgAaQAtAGoAKQApACwAMAApAFwAbgAgACAAIAAgACkAKQApACwAXABuACAAIAAgACAAXAAiAFUAXAAiACwATQBBAEsARQBBAFIAUgBBAFkAKABuACwAbgAsAEwAQQBNAEIARABBACgAcgAsAGMALABMAEUAVAAoAGkALAByAC0AMQAsAGoALABjAC0AMQAsAFwAbgAgACAAIAAgACAAIAAgACAASQBGACgAaQA8AD0AagAsAEYAQQBDAFQAKABqACkALwAoAEYAQQBDAFQAKABpACkAKgBGAEEAQwBUACgAagAtAGkAKQApACwAMAApAFwAbgAgACAAIAAgACkAKQApACwAXABuACAAIAAgACAAUgBFAEQAVQBDAEUAKABTAEUAUQBVAEUATgBDAEUAKAAxACwAbgAsADEALAAwACkALABTAEUAUQBVAEUATgBDAEUAKABuAC0AMQApACwATABBAE0AQgBEAEEAKABhAGMAYwAsAHIAbwB3ACwAXABuACAAIAAgACAAIAAgACAAIABWAFMAVABBAEMASwAoAGEAYwBjACwASABTAFQAQQBDAEsAKAAxACwAXABuACAAIAAgACAAIAAgACAAIAAgACAAIAAgAFMAQwBBAE4AKAAxACwAUwBFAFEAVQBFAE4AQwBFACgAMQAsAG4ALQAxACkALABcAG4AIAAgACAAIAAgACAAIAAgACAAIAAgACAAIAAgACAAIABMAEEATQBCAEQAQQAoAGMAcwB1AG0ALABpACwAYwBzAHUAbQArAEkATgBEAEUAWAAoAGEAYwBjACwAcgBvAHcALABpACsAMQApACkAXABuACAAIAAgACAAIAAgACAAIAAgACAAIAAgACkAXABuACAAIAAgACAAIAAgACAAIAApACkAXABuACAAIAAgACAAKQApACkAXABuACkAKQApADsAXABuAC8AKgAqAFwAbgAqACAAUgBlAHQAdQByAG4AIAB0AGgAZQAgAEgAZQBzAHMAZQBuAGIAZQByAGcAIABvAGYAIABhACAAcwBxAHUAYQByAGUAIABtAGEAdAByAGkAeAAgAHUAcwBpAG4AZwAgAHQAaABlACAASABvAHUAcwBlAGgAbwBsAGQAZQByACAAdAByAGEAbgBzAGYAbwByAG0AYQB0AGkAbwBuACAAYQBsAGcAbwByAGkAdABoAG0ALgBcAG4AKgAvAFwAbgBIAEUAUwBTACAAPQAgAEwAQQBNAEIARABBACgAbQBhAHQAcgBpAHgALABbAG8AdQB0AHAAdQB0AF8AZgBvAHIAbQBdACwAXABuAEkARgAoAFIATwBXAFMAKABtAGEAdAByAGkAeAApADwAPgBDAE8ATABVAE0ATgBTACgAbQBhAHQAcgBpAHgAKQAsAFwAIgBFAHIAcgBvAHIAOgAgAG4AbwB0ACAAcwBxAHUAYQByAGUAXAAiACwAXABuAEkARgAoAFIATwBXAFMAKABtAGEAdAByAGkAeAApADwAMwAsAFwAIgBNAHUAcwB0ACAAYgBlACAAPgAgADIAeAAyAFwAIgAsAFwAbgBMAEUAVAAoAGQAbwBjACwAXAAiAGgAdAB0AHAAcwA6AC8ALwB3AHcAdwAuAHYAZQByAHQAZQB4ADQAMgAuAGMAbwBtAC8AbABhAGIAbQBkAGEALwBoAGUAcwBzAC4AaAB0AG0AbABcACIALABcAG4AIAAgACAAIABvAHUAdABwAHUAdABfAGYAbwByAG0ALABJAEYAKABJAFMATwBNAEkAVABUAEUARAAoAG8AdQB0AHAAdQB0AF8AZgBvAHIAbQApACwAXAAiAEgAXAAiACwAbwB1AHQAcAB1AHQAXwBmAG8AcgBtACkALABcAG4AIAAgACAAIABuACwAUgBPAFcAUwAoAG0AYQB0AHIAaQB4ACkALABcAG4AIAAgACAAIABrAHMALABTAEUAUQBVAEUATgBDAEUAKABuAC0AMgApACwAXABuACAAIAAgACAASABVAGsALABSAEUARABVAEMARQAoAFYAUwBUAEEAQwBLACgAbQBhAHQAcgBpAHgALABNAFUATgBJAFQAKABuACkAKQAsAGsAcwAsAEwAQQBNAEIARABBACgAYQBjAGMALABrACwAXABuACAAIAAgACAAIAAgACAAIABMAEUAVAAoAEEAbQBhAHQALABEAFIATwBQACgAYQBjAGMALAAtAG4AKQAsAFwAbgAgACAAIAAgACAAIAAgACAAIAAgACAAIAB4ACwARABSAE8AUAAoAEkATgBEAEUAWAAoAEEAbQBhAHQALAAwACwAawApACwAawApACwAXABuACAAIAAgACAAIAAgACAAIAAgACAAIAAgAHYALAB4ACsAUwBJAEcATgAoAEkATgBEAEUAWAAoAHgALAAxACkAKQAqAFYAUwBUAEEAQwBLACgAUwBRAFIAVAAoAFMAVQBNACgAeABeADIAKQApACwAUwBFAFEAVQBFAE4AQwBFACgAUgBPAFcAUwAoAHgAKQAtADEALAAxACwAMAAsADAAKQApACwAXABuACAAIAAgACAAIAAgACAAIAAgACAAIAAgAFAAawAsAE0AVQBOAEkAVAAoAFIATwBXAFMAKAB4ACkAKQAtADIAKgBNAE0AVQBMAFQAKAB2ACwAVABSAEEATgBTAFAATwBTAEUAKAB2ACkAKQAvAE0ATQBVAEwAVAAoAFQAUgBBAE4AUwBQAE8AUwBFACgAdgApACwAdgApACwAXABuACAAIAAgACAAIAAgACAAIAAgACAAIAAgAFUAawAsAFYAUwBUAEEAQwBLACgASABTAFQAQQBDAEsAKABNAFUATgBJAFQAKABrACkALABTAEUAUQBVAEUATgBDAEUAKABrACwAbgAtAGsALAAwACwAMAApACkALABIAFMAVABBAEMASwAoAFMARQBRAFUARQBOAEMARQAoAG4ALQBrACwAawAsADAALAAwACkALABQAGsAKQApACwAXABuACAAIAAgACAAIAAgACAAIAAgACAAIAAgAG4AZQB3AF8AQQAsAE0ATQBVAEwAVAAoAE0ATQBVAEwAVAAoAFUAawAsAEEAbQBhAHQAKQAsAFUAawApACwAXABuACAAIAAgACAAIAAgACAAIAAgACAAIAAgAFYAUwBUAEEAQwBLACgAbgBlAHcAXwBBACwATQBNAFUATABUACgAVQBrACwARABSAE8AUAAoAGEAYwBjACwAbgApACkAKQBcAG4AIAAgACAAIAAgACAAIAAgACkAKQBcAG4AIAAgACAAIAApACwAXABuACAAIAAgACAASAAsAEQAUgBPAFAAKABIAFUAawAsAC0AbgAsADAAKQAsAFwAbgAgACAAIAAgAEkARgAoAG8AdQB0AHAAdQB0AF8AZgBvAHIAbQA9AFwAIgBIAFUAXAAiACwAVgBTAFQAQQBDAEsAKABIACwAVABSAEEATgBTAFAATwBTAEUAKABEAFIATwBQACgASABVAGsALABuACwAMAApACkAKQAsAEgAKQBcAG4AKQApACkAKQA7AFwAbgAvACoAKgBcAG4AKgAgAFIAZQB0AHUAcgBuAHMAIAB0AGgAZQAgAFEAUgAgAGQAZQBjAG8AbQBwAG8AcwBpAHQAaQBvAG4AIABvAGYAIABtAGEAdAByAGkAeAAgAEEAIAB1AHMAaQBuAGcAIAB0AGgAZQAgAEgAbwB1AHMAZQBoAG8AbABkAGUAcgAgAHQAcgBhAG4AcwBmAG8AcgBtAGEAdABpAG8AbgAgAHAAcgBvAGMAZQBzAHMAXABuACoAIABRAFIAKABtAGEAdAByAGkAeAApACAAcgBlAHQAdQByAG4AcwAgAHsAUQA7AFIAfQAgACgAcwB0AGEAYwBrAGUAZAAgAHYAZQByAHQAaQBjAGEAbABsAHkAKQAgAHcAaABlAHIAZQAgAG0AYQB0AHIAaQB4AD0ATQBNAFUATABUACgAUQAsAFIAKQAuAFwAbgAqAC8AXABuAFEAUgAgAD0AIABMAEEATQBCAEQAQQAoAG0AYQB0AHIAaQB4ACwAXABuAEwARQBUACgAZABvAGMALABcACIAaAB0AHQAcABzADoALwAvAHcAdwB3AC4AdgBlAHIAdABlAHgANAAyAC4AYwBvAG0ALwBsAGEAbQBiAGQAYQAvAHEAcgAuAGgAdABtAGwAXAAiACwAXABuACAAIAAgACAAbQAsAFIATwBXAFMAKABtAGEAdAByAGkAeAApACwAbgAsAEMATwBMAFUATQBOAFMAKABtAGEAdAByAGkAeAApACwAXABuACAAIAAgACAAawBzACwAUwBFAFEAVQBFAE4AQwBFACgAbgAtADEALAAxACkALABcAG4AIAAgACAAIABRADMAUQAyAFEAMQAsAFIARQBEAFUAQwBFACgAUwBFAFEAVQBFAE4AQwBFACgAbgAsAG4ALAAwACwAMAApACwAawBzACwATABBAE0AQgBEAEEAKABhAGMAYwAsAGsALABcAG4AIAAgACAAIAAgACAAIAAgAEwARQBUACgAIAAgACAAXABuACAAIAAgACAAIAAgACAAIAAgACAAIAAgAEEAaABhAHQALABJAEYAKABrAD0AMQAsAG0AYQB0AHIAaQB4ACwATQBNAFUATABUACgAYQBjAGMALABtAGEAdAByAGkAeAApACkALABcAG4AIAAgACAAIAAgACAAIAAgACAAIAAgACAAZQBrACwAVgBTAFQAQQBDAEsAKAAxACwAUwBFAFEAVQBFAE4AQwBFACgAbgAtAGsALAAxACwAMAAsADAAKQApACwAXABuACAAIAAgACAAIAAgACAAIAAgACAAIAAgAHgAawAsAEQAUgBPAFAAKABJAE4ARABFAFgAKABBAGgAYQB0ACwAMAAsAGsAKQAsAGsALQAxACkALABcAG4AIAAgACAAIAAgACAAIAAgACAAIAAgACAAYQBsAHAAaABhACwALQBTAEkARwBOACgASQBOAEQARQBYACgAeABrACwAMQApACkAKgBTAFEAUgBUACgAUwBVAE0AKAB4AGsAXgAyACkAKQAsAFwAbgAgACAAIAAgACAAIAAgACAAIAAgACAAIAB1AGsALAB4AGsALQBhAGwAcABoAGEAKgBlAGsALABcAG4AIAAgACAAIAAgACAAIAAgACAAIAAgACAAdgBrACwAdQBrAC8AUwBRAFIAVAAoAFMAVQBNACgAdQBrAF4AMgApACkALABcAG4AIAAgACAAIAAgACAAIAAgACAAIAAgACAAUQBrAGgAYQB0ACwATQBVAE4ASQBUACgAUgBPAFcAUwAoAGUAawApACkALQAyACoATQBNAFUATABUACgAdgBrACwAVABSAEEATgBTAFAATwBTAEUAKAB2AGsAKQApACwAXABuACAAIAAgACAAIAAgACAAIAAgACAAIAAgAFEAawAsAEkARgAoAGsAPQAxACwAUQBrAGgAYQB0ACwAXABuACAAIAAgACAAIAAgACAAIAAgACAAIAAgACAAIAAgACAAVgBTAFQAQQBDAEsAKABcAG4AIAAgACAAIAAgACAAIAAgACAAIAAgACAAIAAgACAAIABIAFMAVABBAEMASwAoAE0AVQBOAEkAVAAoAGsALQAxACkALAAgAFMARQBRAFUARQBOAEMARQAoAGsALQAxACwAbgAtAGsAKwAxACwAMAAsADAAKQApACwAXABuACAAIAAgACAAIAAgACAAIAAgACAAIAAgACAAIAAgACAASABTAFQAQQBDAEsAKABTAEUAUQBVAEUATgBDAEUAKABuAC0AawArADEALABrAC0AMQAsADAALAAwACkALAAgAFEAawBoAGEAdAApACkAXABuACAAIAAgACAAIAAgACAAIAAgACAAIAAgACAAIAAgACAAKQAsAFwAbgAgACAAIAAgACAAIAAgACAAIAAgACAAIABJAEYAKABrAD0AMQAsAFEAawAsAE0ATQBVAEwAVAAoAFEAawAsAGEAYwBjACkAKQBcAG4AIAAgACAAIAAgACAAIAAgACkAXABuACAAIAAgACAAKQApACwAXABuACAAIAAgACAAVgBTAFQAQQBDAEsAKABUAFIAQQBOAFMAUABPAFMARQAoAFEAMwBRADIAUQAxACkALABNAE0AVQBMAFQAKABRADMAUQAyAFEAMQAsAG0AYQB0AHIAaQB4ACkAKQBcAG4AKQApADsAXABuAC8AKgAqAFwAbgAqACAAQQB0AHQAZQBtAHAAdABzACAAdABvACAAZgBpAG4AZAAgAEUAaQBnAGUAbgB2AGEAbAB1AGUAcwAgAG8AZgAgAGEAIABzAHEAdQBhAHIAZQAgAG0AYQB0AHIAaQB4ACAAdwBpAHQAaAAgAG4AIABpAHQAZQByAGEAdABpAG8AbgBzAFwAbgAqACAAdQBzAGkAbgBnACAAYQAgAFEAUgAgAGEAbABnAG8AcgBpAHQAaABtACAAdwBpAHQAaAAgAFIAYQB5AGwAZQBpAGcAaAAgAHMAaABpAGYAdABzACAAYQBuAGQAIABvAHAAdABpAG8AbgBhAGwAIABIAGUAcwBzAGUAbgBiAGUAcgBnAFwAbgAqAC8AXABuAEUASQBHAEUATgBWAEEATABVAEUAIAA9ACAATABBAE0AQgBEAEEAKABtAGEAdAByAGkAeAAsAFsAaQB0AGUAcgBhAHQAaQBvAG4AcwBdACwAWwBvAHUAdABwAHUAdABfAGYAbwByAG0AXQAsAFsAdQBzAGUAXwBoAGUAcwBzAF0ALABcAG4ATABFAFQAKABkAG8AYwAsAFwAIgBoAHQAdABwAHMAOgAvAC8AdwB3AHcALgB2AGUAcgB0AGUAeAA0ADIALgBjAG8AbQAvAGwAYQBtAGIAZABhAC8AZQBpAGcAZQBuAHYAYQBsAHUAZQAuAGgAdABtAGwAXAAiACwAXABuACAAIAAgACAAbgAsAFIATwBXAFMAKABtAGEAdAByAGkAeAApACwAXABuACAAIAAgACAAaQB0AGUAcgBhAHQAaQBvAG4AcwAsAEkARgAoAEkAUwBCAEwAQQBOAEsAKABpAHQAZQByAGEAdABpAG8AbgBzACkALAA0ADIALABpAHQAZQByAGEAdABpAG8AbgBzACkALABcAG4AIAAgACAAIABvAHUAdABwAHUAdABfAGYAbwByAG0ALABJAEYAKABJAFMAQgBMAEEATgBLACgAbwB1AHQAcAB1AHQAXwBmAG8AcgBtACkALABcACIAVQBcACIALABvAHUAdABwAHUAdABfAGYAbwByAG0AKQAsAFwAbgAgACAAIAAgAGkAbgBpAHQAaQBhAGwASABVACwASQBGACgAdQBzAGUAXwBoAGUAcwBzAD0AVABSAFUARQAsAEgARQBTAFMAKABtAGEAdAByAGkAeAAsAFwAIgBIAFUAXAAiACkALABcACIAXAAiACkALABcAG4AIAAgACAAIABpAG4AaQB0AGkAYQBsAEEALABJAEYAKAB1AHMAZQBfAGgAZQBzAHMAPQBUAFIAVQBFACwARABSAE8AUAAoAGkAbgBpAHQAaQBhAGwASABVACwALQBuACwAMAApACwAbQBhAHQAcgBpAHgAKQAsAFwAbgAgACAAIAAgAFUAUQAsAFIARQBEAFUAQwBFACgAVgBTAFQAQQBDAEsAKABpAG4AaQB0AGkAYQBsAEEALABNAFUATgBJAFQAKABuACkAKQAsAFMARQBRAFUARQBOAEMARQAoAGkAdABlAHIAYQB0AGkAbwBuAHMAKQAsAEwAQQBNAEIARABBACgAYQBjAGMALABrACwAXABuACAAIAAgACAAIAAgACAAIABMAEUAVAAoAG4AZQB3AF8AQQAsAEQAUgBPAFAAKABhAGMAYwAsAC0AbgAsADAAKQAsAFwAbgAgACAAIAAgACAAIAAgACAAIAAgACAAIABzAGgAaQBmAHQALABJAEYAKABJAE4ARABFAFgAKABuAGUAdwBfAEEALABuACwAbgApAD0AMAAsADAALgAwADAAMAAxACwASQBOAEQARQBYACgAbgBlAHcAXwBBACwAbgAsAG4AKQApACwAXABuACAAIAAgACAAIAAgACAAIAAgACAAIAAgAFEAUgBtAGEAdAAsAFEAUgAoAG4AZQB3AF8AQQAtAHMAaABpAGYAdAAqAE0AVQBOAEkAVAAoAG4AKQApACwAXABuACAAIAAgACAAIAAgACAAIAAgACAAIAAgAFEALABUAEEASwBFACgAUQBSAG0AYQB0ACwAbgApACwAXABuACAAIAAgACAAIAAgACAAIAAgACAAIAAgAFIALABUAEEASwBFACgAUQBSAG0AYQB0ACwALQBuACkALABcAG4AIAAgACAAIAAgACAAIAAgACAAIAAgACAAbgBlAHgAdABfAEEALABNAE0AVQBMAFQAKABSACwAUQApACsAcwBoAGkAZgB0ACoATQBVAE4ASQBUACgAbgApACwAXABuACAAIAAgACAAIAAgACAAIAAgACAAIAAgAFYAUwBUAEEAQwBLACgAbgBlAHgAdABfAEEALABNAE0AVQBMAFQAKABEAFIATwBQACgAYQBjAGMALABuACwAMAApACwAUQApACkAXABuACAAIAAgACAAIAAgACAAIAApAFwAbgAgACAAIAAgACkAKQAsAFwAbgAgACAAIAAgAGUAaQBnAE0AYQB0ACwARABSAE8AUAAoAFUAUQAsAC0AbgAsADAAKQAsAFwAbgAgACAAIAAgAHEATQBhAHQALABJAEYAKAB1AHMAZQBfAGgAZQBzAHMAPQBUAFIAVQBFACwAXABuACAAIAAgACAAIAAgACAAIABNAE0AVQBMAFQAKABEAFIATwBQACgAaQBuAGkAdABpAGEAbABIAFUALABuACwAMAApACwARABSAE8AUAAoAFUAUQAsAG4ALAAwACkAKQAsAFwAbgAgACAAIAAgACAAIAAgACAARABSAE8AUAAoAFUAUQAsAG4ALAAwACkAXABuACAAIAAgACAAKQAsAFwAbgAgACAAIAAgAEkARgAoAG8AdQB0AHAAdQB0AF8AZgBvAHIAbQA9AFwAIgBVAFEAXAAiACwAVQBRACwAXABuACAAIAAgACAASQBGACgAbwB1AHQAcAB1AHQAXwBmAG8AcgBtAD0AXAAiAHQAZQBzAHQAXAAiACwAXABuACAAIAAgACAAIAAgACAAIABMAEUAVAAoAFwAbgAgACAAIAAgACAAIAAgACAAIAAgACAAIABlAGkAZwBSAG8AdwAsAE0AQQBLAEUAQQBSAFIAQQBZACgAMQAsAG4ALABMAEEATQBCAEQAQQAoAGkALABqACwASQBOAEQARQBYACgAZQBpAGcATQBhAHQALABqACwAagApACkAKQAsAFwAbgAgACAAIAAgACAAIAAgACAAIAAgACAAIABsAGEAYgBlAGwALABMAEEATQBCAEQAQQAoAGwAYQBiAGUAbAAsAEgAUwBUAEEAQwBLACgAbABhAGIAZQBsACwATQBBAEsARQBBAFIAUgBBAFkAKAAxACwAbgAtADEALABMAEEATQBCAEQAQQAoAGkALABqACwAXAAiAFwAIgApACkAKQApACwAXABuACAAIAAgACAAIAAgACAAIAAgACAAIAAgAFYAUwBUAEEAQwBLACgAXABuACAAIAAgACAAIAAgACAAIAAgACAAIAAgACAAIAAgACAAZQBpAGcATQBhAHQALABcAG4AIAAgACAAIAAgACAAIAAgACAAIAAgACAAIAAgACAAIABsAGEAYgBlAGwAKABcACIAUQBcACIAKQAsAHEATQBhAHQALABcAG4AIAAgACAAIAAgACAAIAAgACAAIAAgACAAIAAgACAAIABsAGEAYgBlAGwAKABcACIAuwNcACIAKQAsAGUAaQBnAFIAbwB3ACwAXABuACAAIAAgACAAIAAgACAAIAAgACAAIAAgACAAIAAgACAAbABhAGIAZQBsACgAXAAiAGQAZQB0ACgAQQAtALsDSQApAFwAIgApACwAQgBZAEMATwBMACgAZQBpAGcAUgBvAHcALABMAEEATQBCAEQAQQAoALsDLABNAEQARQBUAEUAUgBNACgAbQBhAHQAcgBpAHgALQC7AyoATQBVAE4ASQBUACgAbgApACkAKQApACwAXABuACAAIAAgACAAIAAgACAAIAAgACAAIAAgACAAIAAgACAAbABhAGIAZQBsACgAXAAiAEEAdgAvAHYAXAAiACkALABNAE0AVQBMAFQAKABtAGEAdAByAGkAeAAsAHEATQBhAHQAKQAvAHEATQBhAHQAXABuACAAIAAgACAAIAAgACAAIAAgACAAIAAgACAAIAAgACAAKQBcAG4AIAAgACAAIAAgACAAIAAgACkALABcAG4AIAAgACAAIAAgACAAIAAgAGUAaQBnAE0AYQB0AFwAbgAgACAAIAAgACkAKQBcAG4AKQApADsAXABuAC8AKgAqAFwAbgAqACAAUgBlAHQAdQByAG4AcwAgAHQAaABlACAAQwBoAG8AbABlAHMAawB5ACAAZABlAGMAbwBtAHAAbwBzAGkAdABpAG8AbgAgAGYAbwByACAAYQAgAHMAeQBtAG0AZQB0AHIAaQBjACAAcABvAHMAaQB0AGkAdgBlAC0AZABlAGYAaQBuAGkAdABlACAAbQBhAHQAcgBpAHgAXABuACoALwBcAG4AQwBIAE8ATABFAFMASwBZACAAPQAgAEwAQQBNAEIARABBACgAbQBhAHQAcgBpAHgALABcAG4ATABFAFQAKABkAG8AYwAsAFwAIgBoAHQAdABwAHMAOgAvAC8AdwB3AHcALgB2AGUAcgB0AGUAeAA0ADIALgBjAG8AbQAvAGwAYQBtAGIAZABhAC8AYwBoAG8AbABlAHMAawB5AC4AaAB0AG0AbABcACIALABcAG4AIAAgACAAIABuACwAUgBPAFcAUwAoAG0AYQB0AHIAaQB4ACkALABcAG4AIAAgACAAIABJAEYAKABSAE8AVwBTACgAbQBhAHQAcgBpAHgAKQA8AD4AQwBPAEwAVQBNAE4AUwAoAG0AYQB0AHIAaQB4ACkALABcAG4AIAAgACAAIAAgACAAIAAgAFwAIgBFAHIAcgBvAHIAOgAgAG0AYQB0AHIAaQB4ACAAbgBvAHQAIABzAHEAdQBhAHIAZQBcACIALABcAG4AIAAgACAAIABJAEYAKABTAFUATQAoAC0ALQAoAG0AYQB0AHIAaQB4ADwAPgBUAFIAQQBOAFMAUABPAFMARQAoAG0AYQB0AHIAaQB4ACkAKQApADwAPgAwACwAXABuACAAIAAgACAAIAAgACAAIABcACIARQByAHIAbwByADoAIABuAG8AdAAgAHMAeQBtAG0AZQB0AHIAaQBjAFwAIgAsAFwAbgAgACAAIAAgAEkARgAoAE0ARABFAFQARQBSAE0AKABtAGEAdAByAGkAeAApADwAPQAwACwAXABuACAAIAAgACAAIAAgACAAIABcACIARQByAHIAbwByADoAIABuAG8AdAAgAHAAbwBzAGkAdABpAHYAZQAgAGQAZQBmAGkAbgBpAHQAZQBcACIALABcAG4AIAAgACAAIABSAEUARABVAEMARQAoADAALABTAEUAUQBVAEUATgBDAEUAKABuACkALABMAEEATQBCAEQAQQAoAEwAbQBhAHQALABqACwAXABuACAAIAAgACAAIAAgACAAIABJAEYAKABqAD0AMQAsAFwAbgAgACAAIAAgACAAIAAgACAAIAAgACAAIABMAEUAVAAoAEwAagBqACwAUwBRAFIAVAAoAEkATgBEAEUAWAAoAG0AYQB0AHIAaQB4ACwAagAsAGoAKQApACwAXABuACAAIAAgACAAIAAgACAAIAAgACAAIAAgACAAIAAgACAATABpAGoALABDAEgATwBPAFMARQBSAE8AVwBTACgASQBOAEQARQBYACgAbQBhAHQAcgBpAHgALAAwACwAMQApACwAUwBFAFEAVQBFAE4AQwBFACgAbgAtADEALAAxACwAMgAsADEAKQApAC8ATABqAGoALABcAG4AIAAgACAAIAAgACAAIAAgACAAIAAgACAAIAAgACAAIABWAFMAVABBAEMASwAoAEwAagBqACwATABpAGoAKQBcAG4AIAAgACAAIAAgACAAIAAgACAAIAAgACAAKQAsAFwAbgAgACAAIAAgACAAIAAgACAASQBGACgAagA9AG4ALABcAG4AIAAgACAAIAAgACAAIAAgACAAIAAgACAATABFAFQAKABMAGoAagAsAFMAUQBSAFQAKABJAE4ARABFAFgAKABtAGEAdAByAGkAeAAsAGoALABqACkALQBTAFUATQAoAEMASABPAE8AUwBFAFIATwBXAFMAKABMAG0AYQB0ACwAagApAF4AMgApACkALABcAG4AIAAgACAAIAAgACAAIAAgACAAIAAgACAAIAAgACAAIABIAFMAVABBAEMASwAoAEwAbQBhAHQALABWAFMAVABBAEMASwAoAFMARQBRAFUARQBOAEMARQAoAG4ALQAxACwAMQAsADAALAAwACkALABMAGoAagApACkAXABuACAAIAAgACAAIAAgACAAIAAgACAAIAAgACkALABcAG4AIAAgACAAIAAgACAAIAAgACAAIAAgACAATABFAFQAKABMAGoAagAsAFMAUQBSAFQAKABJAE4ARABFAFgAKABtAGEAdAByAGkAeAAsAGoALABqACkALQBTAFUATQAoAEMASABPAE8AUwBFAFIATwBXAFMAKABMAG0AYQB0ACwAagApAF4AMgApACkALABcAG4AIAAgACAAIAAgACAAIAAgACAAIAAgACAAIAAgACAAIABBAGkAagAsAEMASABPAE8AUwBFAFIATwBXAFMAKABJAE4ARABFAFgAKABtAGEAdAByAGkAeAAsADAALABqACkALABTAEUAUQBVAEUATgBDAEUAKABuAC0AagAsADEALABqACsAMQAsADEAKQApACwAXABuACAAIAAgACAAIAAgACAAIAAgACAAIAAgACAAIAAgACAATABpAGsALABDAEgATwBPAFMARQBSAE8AVwBTACgATABtAGEAdAAsAFMARQBRAFUARQBOAEMARQAoAG4ALQBqACwAMQAsAGoAKwAxACwAMQApACkALABcAG4AIAAgACAAIAAgACAAIAAgACAAIAAgACAAIAAgACAAIABMAGoAawAsAEMASABPAE8AUwBFAFIATwBXAFMAKABMAG0AYQB0ACwAagApACwAXABuACAAIAAgACAAIAAgACAAIAAgACAAIAAgACAAIAAgACAATABpAGoALAAxAC8ATABqAGoAKgAoAEEAaQBqAC0ATQBNAFUATABUACgATABpAGsALABUAFIAQQBOAFMAUABPAFMARQAoAEwAagBrACkAKQApACwAXABuACAAIAAgACAAIAAgACAAIAAgACAAIAAgACAAIAAgACAASABTAFQAQQBDAEsAKABMAG0AYQB0ACwAVgBTAFQAQQBDAEsAKABTAEUAUQBVAEUATgBDAEUAKABqAC0AMQAsADEALAAwACwAMAApACwATABqAGoALABMAGkAagApACkAXABuACAAIAAgACAAIAAgACAAIAAgACAAIAAgACkAXABuACAAIAAgACAAIAAgACAAIAApACkAXABuACAAIAAgACAAKQApAFwAbgAgACAAIAAgACkAKQApAFwAbgApACkAOwBcAG4AXABuAC8AKgAqACoAKgAqACoAKgAqACoAKgAqACoAKgAqACoAKgAqACoAKgAqACAAXABuACoAIABJAE4AVABFAFIAUABPAEwAQQBUAEkATwBOAFwAbgAqACoAKgAqACoAKgAqACoAKgAqACoAKgAqACoAKgAqACoAKgAqACoAKgAvAFwAbgBcAG4ALwAqACoAXABuACoAIABMAGkAbgBlAGEAcgBsAHkAIABpAG4AdABlAHIAcABvAGwAYQB0AGUAIABiAGUAdAB3AGUAZQBuACAAdABoAGUAIAB0AHcAbwAgAG4AZQBhAHIAZQBzAHQAIABwAG8AaQBuAHQAcwAgAGkAbgAgAGEAIAB0AGEAYgBsAGUAIABsAG8AbwBrAHUAcABcAG4AKgAvAFwAbgBMAEkATgBUAEUAUgBQACAAPQAgAEwAQQBNAEIARABBACgAeABzACwAawBuAG8AdwBuAF8AeABzACwAawBuAG8AdwBuAF8AeQBzACwAXABuAEwARQBUACgAZABvAGMALABcACIAaAB0AHQAcABzADoALwAvAHcAdwB3AC4AdgBlAHIAdABlAHgANAAyAC4AYwBvAG0ALwBsAGEAbQBiAGQAYQAvAGwAaQBuAHQAZQByAHAALgBoAHQAbQBsAFwAIgAsAFwAbgAgACAAIAAgAHgAcwAsAEkARgAoAEEATgBEACgAUgBPAFcAUwAoAHgAcwApAD0AMQAsAEMATwBMAFUATQBOAFMAKAB4AHMAKQA+ADEAKQAsAFQAUgBBAE4AUwBQAE8AUwBFACgAeABzACkALAB4AHMAKQAsAFwAbgAgACAAIAAgAGsAbgBvAHcAbgBfAHgAcwAsAEkARgAoAEEATgBEACgAUgBPAFcAUwAoAGsAbgBvAHcAbgBfAHgAcwApAD0AMQAsAEMATwBMAFUATQBOAFMAKABrAG4AbwB3AG4AXwB4AHMAKQA+ADEAKQAsAFQAUgBBAE4AUwBQAE8AUwBFACgAawBuAG8AdwBuAF8AeABzACkALABrAG4AbwB3AG4AXwB4AHMAKQAsAFwAbgAgACAAIAAgAGsAbgBvAHcAbgBfAHkAcwAsAEkARgAoAEEATgBEACgAUgBPAFcAUwAoAGsAbgBvAHcAbgBfAHkAcwApAD0AMQAsAEMATwBMAFUATQBOAFMAKABrAG4AbwB3AG4AXwB5AHMAKQA+ADEAKQAsAFQAUgBBAE4AUwBQAE8AUwBFACgAawBuAG8AdwBuAF8AeQBzACkALABrAG4AbwB3AG4AXwB5AHMAKQAsAFwAbgAgACAAIAAgAHQAYQBiACwAUwBPAFIAVAAoAEgAUwBUAEEAQwBLACgAawBuAG8AdwBuAF8AeABzACwAawBuAG8AdwBuAF8AeQBzACkAKQAsAFwAbgAgACAAIAAgAEIAWQBSAE8AVwAoAHgAcwAsAEwAQQBNAEIARABBACgAeAAsAFwAbgAgACAAIAAgACAAIAAgACAATABFAFQAKABpAG4AZAAsAE0AQQBUAEMASAAoAHgALABJAE4ARABFAFgAKAB0AGEAYgAsADAALAAxACkALAAxACkALABcAG4AIAAgACAAIAAgACAAIAAgACAAIAAgACAAcAB0AHMALABcAG4AIAAgACAAIAAgACAAIAAgACAAIAAgACAASQBGACgAeAA8AD0ATQBJAE4AKABrAG4AbwB3AG4AXwB4AHMAKQAsAFQAQQBLAEUAKAB0AGEAYgAsADIAKQAsAFwAbgAgACAAIAAgACAAIAAgACAAIAAgACAAIAAgACAAIAAgAEkARgAoAHgAPgA9AE0AQQBYACgAawBuAG8AdwBuAF8AeABzACkALABUAEEASwBFACgAdABhAGIALAAtADIAKQAsAFwAbgAgACAAIAAgACAAIAAgACAAIAAgACAAIAAgACAAIAAgACAAIAAgACAAQwBIAE8ATwBTAEUAUgBPAFcAUwAoAHQAYQBiACwAaQBuAGQALABpAG4AZAArADEAKQBcAG4AIAAgACAAIAAgACAAIAAgACAAIAAgACAAIAAgACAAIAApAFwAbgAgACAAIAAgACAAIAAgACAAIAAgACAAIAApACwAXABuACAAIAAgACAAIAAgACAAIAAgACAAIAAgAFMATABPAFAARQAoAEkATgBEAEUAWAAoAHAAdABzACwALAAyACkALABJAE4ARABFAFgAKABwAHQAcwAsACwAMQApACkAKgB4ACsASQBOAFQARQBSAEMARQBQAFQAKABJAE4ARABFAFgAKABwAHQAcwAsACwAMgApACwASQBOAEQARQBYACgAcAB0AHMALAAsADEAKQApAFwAbgAgACAAIAAgACAAIAAgACAAKQBcAG4AIAAgACAAIAApACkAXABuACkAKQA7AFwAbgAvACoAKgBcAG4AKgAgAFAAbwBsAHkAbgBvAG0AaQBhAGwAIABpAG4AdABlAHIAcABvAGwAYQB0AGkAbwBuACAAYgBlAHQAdwBlAGUAbgAgAHQAaABlACAAbgArADEAIABjAGwAbwBzAGUAcwB0ACAAcABvAGkAbgB0AHMAIABiAGEAcwBlAGQAIABvAG4AIABkAGkAcwB0AGEAbgBjAGUAIAAoAHgAMAAtAHgAKQBeADIAXABuACoALwBcAG4AUABJAE4AVABFAFIAUAAgAD0AIABMAEEATQBCAEQAQQAoAHgAcwAsAGsAbgBvAHcAbgBfAHgAcwAsAGsAbgBvAHcAbgBfAHkAcwAsAG4ALABcAG4ATABFAFQAKABkAG8AYwAsAFwAIgBoAHQAdABwAHMAOgAvAC8AdwB3AHcALgB2AGUAcgB0AGUAeAA0ADIALgBjAG8AbQAvAGwAYQBtAGIAZABhAC8AcABpAG4AdABlAHIAcAAuAGgAdABtAGwAXAAiACwAXABuACAAIAAgACAAeABzACwASQBGACgAQQBOAEQAKABSAE8AVwBTACgAeABzACkAPQAxACwAQwBPAEwAVQBNAE4AUwAoAHgAcwApAD4AMQApACwAVABSAEEATgBTAFAATwBTAEUAKAB4AHMAKQAsAHgAcwApACwAXABuACAAIAAgACAAawBuAG8AdwBuAF8AeABzACwASQBGACgAQQBOAEQAKABSAE8AVwBTACgAawBuAG8AdwBuAF8AeABzACkAPQAxACwAQwBPAEwAVQBNAE4AUwAoAGsAbgBvAHcAbgBfAHgAcwApAD4AMQApACwAVABSAEEATgBTAFAATwBTAEUAKABrAG4AbwB3AG4AXwB4AHMAKQAsAGsAbgBvAHcAbgBfAHgAcwApACwAXABuACAAIAAgACAAawBuAG8AdwBuAF8AeQBzACwASQBGACgAQQBOAEQAKABSAE8AVwBTACgAawBuAG8AdwBuAF8AeQBzACkAPQAxACwAQwBPAEwAVQBNAE4AUwAoAGsAbgBvAHcAbgBfAHkAcwApAD4AMQApACwAVABSAEEATgBTAFAATwBTAEUAKABrAG4AbwB3AG4AXwB5AHMAKQAsAGsAbgBvAHcAbgBfAHkAcwApACwAXABuACAAIAAgACAAQgBZAFIATwBXACgAeABzACwATABBAE0AQgBEAEEAKAB4ACwAXABuACAAIAAgACAAIAAgACAAIABMAEUAVAAoAHQAYQBiACwAVABBAEsARQAoAFMATwBSAFQAKABIAFMAVABBAEMASwAoACgAawBuAG8AdwBuAF8AeABzAC0AeAApAF4AMgAsAGsAbgBvAHcAbgBfAHgAcwAsAGsAbgBvAHcAbgBfAHkAcwApACkALABuACsAMQApACwAXABuACAAIAAgACAAIAAgACAAIAAgACAAIAAgAHgAbwAsAEkATgBEAEUAWAAoAHQAYQBiACwAMQAsADIAKQAsAFwAbgAgACAAIAAgACAAIAAgACAAIAAgACAAIABQAE8ATABZAFYAQQBMACgAUABPAEwAWQBGAEkAVAAoAEkATgBEAEUAWAAoAHQAYQBiACwAMAAsADIAKQAtAHgAbwAsAEkATgBEAEUAWAAoAHQAYQBiACwAMAAsADMAKQAsAG4AKQAsAHgALQB4AG8AKQBcAG4AIAAgACAAIAAgACAAIAAgACkAXABuACAAIAAgACAAKQApAFwAbgApACkAOwBcAG4ALwAqACoAXABuACoAIABDAHUAYgBpAGMAIABTAHAAbABpAG4AZQAgAC0AIABDAHIAZQBhAHQAZQBzACAAYQAgAGMAdQBiAGkAYwAgAHAAaQBlAGMAZQB3AGkAcwBlACAAaQBuAHQAZQByAHAAbwBsAGEAdABpAG4AZwAgAHAAbwBsAHkAbgBvAG0AaQBhAGwAIABcAG4AKgAgAGIAeQAgAHMAcABlAGMAaQBmAHkAaQBuAGcAIABjAG8AbgB0AHIAbwBsACAAcABvAGkAbgB0AHMAIABhAG4AZAAgAHMAbABvAHAAZQBzACAAYQB0ACAAZQBhAGMAaAAgAHAAbwBpAG4AdAAuAFwAbgAqAC8AXABuAC8AKgBcAG4AKgAgAEkAbgBwAHUAdABzADoAXABuACoAIAAgACAAawBuAG8AdwBuAF8AeABzADoAIABBACAAdgBlAGMAdABvAHIAIABvAGYAIAB4AC0AYwBvAG8AcgBkAGkAbgBhAHQAZQBzACAAbwBmACAAdABoAGUAIABjAG8AbgB0AHIAbwBsACAAcABvAGkAbgB0AHMALgBcAG4AKgAgACAAIABrAG4AbwB3AG4AXwB5AHMAOgAgAEEAIAB2AGUAYwB0AG8AcgAgAG8AZgAgAHkALQBjAG8AbwByAGQAaQBuAGEAdABlAHMAIABvAGYAIAB0AGgAZQAgAGMAbwBuAHQAcgBvAGwAIABwAG8AaQBuAHQAcwAuAFwAbgAqACAAIAAgAFsAeABdADoAIAAoAE8AcAB0AGkAbwBuAGEAbAApACAAVABoAGUAIAB4AC0AdgBhAGwAdQBlAHMAIABhAHQAIAB3AGgAaQBjAGgAIAB0AGgAZQAgAHMAcABsAGkAbgBlACAAcwBoAG8AdQBsAGQAIABiAGUAIABlAHYAYQBsAHUAYQB0AGUAZAAuAFwAbgAqACAAIAAgACAAIAAgACAAIABJAGYAIABvAG0AaQB0AHQAZQBkACwAIAB0AGgAZQAgAGYAdQBuAGMAdABpAG8AbgAgAHIAZQB0AHUAcgBuAHMAIAB0AGgAZQAgAHAAaQBlAGMAZQB3AGkAcwBlACAAcABvAGwAeQBuAG8AbQBpAGEAbAAgAGQAYQB0AGEAIABzAHQAcgB1AGMAdAB1AHIAZQAuAFwAbgAqACAAIAAgAFsAbQBzAF0AOgAgACgATwBwAHQAaQBvAG4AYQBsACkAIABTAGwAbwBwAGUAcwAgAGEAdAAgAHQAaABlACAAYwBvAG4AdAByAG8AbAAgAHAAbwBpAG4AdABzAC4AIABJAGYAIABvAG0AaQB0AHQAZQBkACwAIABzAGwAbwBwAGUAcwAgAGEAcgBlACAAZQBzAHQAaQBtAGEAdABlAGQALgBcAG4AKgAgACAAIABbAGMAXQA6ACAAKABPAHAAdABpAG8AbgBhAGwAKQAgAFQAZQBuAHMAaQBvAG4AIABwAGEAcgBhAG0AZQB0AGUAcgAgAGYAbwByACAAQwBhAHIAZABpAG4AYQBsACAAcwBwAGwAaQBuAGUAcwAgACgAZABlAGYAYQB1AGwAdAA6ACAAMAApAC4AXABuACoAXABuACoAIABPAHUAdABwAHUAdABzADoAXABuACoAIAAgACAALQAgAFIAZQB0AHUAcgBuAHMAIABlAGkAdABoAGUAcgAgAHQAaABlACAAZQB2AGEAbAB1AGEAdABlAGQAIABzAHAAbABpAG4AZQAgAGEAdAAgAHgAIABvAHIAIAB0AGgAZQAgAHAAaQBlAGMAZQB3AGkAcwBlACAAcABvAGwAeQBuAG8AbQBpAGEAbAAgAHMAdAByAHUAYwB0AHUAcgBlAC4AXABuACoAXABuACoAIABSAGUAcQB1AGkAcgBlAHMAOgAgAGAAUABQAFYAQQBMAGAAIABmAHUAbgBjAHQAaQBvAG4AIAB0AG8AIABlAHYAYQBsAHUAYQB0AGUAIAB0AGgAZQAgAHAAaQBlAGMAZQB3AGkAcwBlACAAcABvAGwAeQBuAG8AbQBpAGEAbAAgAGEAdAAgAHgALgBcAG4AKgAvAFwAbgBDAFMAUABMAEkATgBFACAAPQAgAEwAQQBNAEIARABBACgAawBuAG8AdwBuAF8AeABzACwAawBuAG8AdwBuAF8AeQBzACwAWwB4AF0ALABbAG0AcwBdACwAWwBjAF0ALABcAG4ATABFAFQAKABkAG8AYwAsAFwAIgBoAHQAdABwAHMAOgAvAC8AdwB3AHcALgB2AGUAcgB0AGUAeAA0ADIALgBjAG8AbQAvAGwAYQBtAGIAZABhAC8AYwBzAHAAbABpAG4AZQAuAGgAdABtAGwAXAAiACwAXABuACAAIAAgACAAdgBlAHIAcwBpAG8AbgAsACAAXAAiADEALgAwAC4AMQAgAC0AIABVAHAAZABhAHQAZQBkACAAYwBvAG0AbQBlAG4AdABpAG4AZwBcACIALABcAG4AIAAgACAAIAAvAC8AIABTAHQAZQBwACAAMQA6ACAASABhAG4AZABsAGUAIABkAGUAZgBhAHUAbAB0AHMAIABhAG4AZAAgAGUAbgBzAHUAcgBlACAAeABzACwAIAB5AHMAIABhAG4AZAAgAG0AcwAgAGEAcgBlACAAYwBvAGwAdQBtAG4AIAB2AGUAYwB0AG8AcgBzAFwAbgAgACAAIAAgAHgAcwAsACAASQBGACgAQQBOAEQAKABSAE8AVwBTACgAawBuAG8AdwBuAF8AeABzACkAPQAxACwAIABDAE8ATABVAE0ATgBTACgAawBuAG8AdwBuAF8AeABzACkAPgAxACkALAAgAFQAUgBBAE4AUwBQAE8AUwBFACgAawBuAG8AdwBuAF8AeABzACkALAAgAGsAbgBvAHcAbgBfAHgAcwApACwAXABuACAAIAAgACAAeQBzACwAIABJAEYAKABBAE4ARAAoAFIATwBXAFMAKABrAG4AbwB3AG4AXwB5AHMAKQA9ADEALAAgAEMATwBMAFUATQBOAFMAKABrAG4AbwB3AG4AXwB5AHMAKQA+ADEAKQAsACAAVABSAEEATgBTAFAATwBTAEUAKABrAG4AbwB3AG4AXwB5AHMAKQAsACAAawBuAG8AdwBuAF8AeQBzACkALABcAG4AIAAgACAAIABtAHMALAAgAEkARgAoAEkAUwBCAEwAQQBOAEsAKABtAHMAKQAsACAAXAAiAFwAIgAsACAASQBGACgAQQBOAEQAKABSAE8AVwBTACgAbQBzACkAPQAxACwAIABDAE8ATABVAE0ATgBTACgAbQBzACkAPgAxACkALAAgAFQAUgBBAE4AUwBQAE8AUwBFACgAbQBzACkALAAgAG0AcwApACkALABcAG4AIAAgACAAIABjACwAIABJAEYAKABJAFMAQgBMAEEATgBLACgAYwApACwAIAAwACwAIABjACkALABcAG4AIAAgACAAIABuACwAIABSAE8AVwBTACgAeABzACkALABcAG4AXABuACAAIAAgACAALwAvACAAUwB0AGUAcAAgADIAOgAgAEMAYQBsAGMAdQBsAGEAdABlACAAcwBsAG8AcABlAHMAIABhAHQAIABlAGEAYwBoACAAYwBvAG4AdAByAG8AbAAgAHAAbwBpAG4AdABcAG4AIAAgACAAIAAvAC8AIABTAGwAbwBwAGUAcwAgAGEAcgBlACAAZQBzAHQAaQBtAGEAdABlAGQAIABpAGYAIABuAG8AdAAgAHAAcgBvAHYAaQBkAGUAZAAgAGUAeABwAGwAaQBjAGkAdAB5AFwAbgAgACAAIAAgAHMAbABvAHAAZQAsACAAKAAxAC0AYwApACAAKgAgAEkARgAoAE8AUgAoACAAbQBzAD0AXAAiAFwAIgAsACAAUgBPAFcAUwAoAG0AcwApADwAPQAyACAAKQAsAFwAbgAgACAAIAAgACAAIAAgACAASQBGACgAIABBAE4ARAAoACAATgBPAFQAKABtAHMAPQBcACIAXAAiACkALAAgAFIATwBXAFMAKABtAHMAKQA9ADEAIAApACwAXABuACAAIAAgACAAIAAgACAAIAAgACAAIAAgAFMARQBRAFUARQBOAEMARQAoAG4ALAAgADEALAAgAG0AcwAsACAAMAApACwAIAAvAC8AIABBAGwAbAAgAHMAbABvAHAAZQBzACAAYQByAGUAIAB0AGgAZQAgAHMAYQBtAGUAIABpAGYAIABtAHMAIABpAHMAIABhACAAcwBjAGEAbABhAHIAXABuACAAIAAgACAAIAAgACAAIAAgACAAIAAgAE0AQQBLAEUAQQBSAFIAQQBZACgAbgAsACAAMQAsACAATABBAE0AQgBEAEEAKABpACwAIABqACwAXABuACAAIAAgACAAIAAgACAAIAAgACAAIAAgACAAIAAgACAASQBGACgAIABpAD0AMQAsAFwAbgAgACAAIAAgACAAIAAgACAAIAAgACAAIAAgACAAIAAgACAAIAAgACAASQBGACgAIABSAE8AVwBTACgAbQBzACkAPQAyACwAXABuACAAIAAgACAAIAAgACAAIAAgACAAIAAgACAAIAAgACAAIAAgACAAIAAgACAAIAAgAEkATgBEAEUAWAAoAG0AcwAsADEAKQAsAFwAbgAgACAAIAAgACAAIAAgACAAIAAgACAAIAAgACAAIAAgACAAIAAgACAAIAAgACAAIAAvAC8AIABGAG8AcgB3AGEAcgBkACAAZABpAGYAZgBlAHIAZQBuAGMAZQAgAGEAdAAgAHQAaABlACAAZgBpAHIAcwB0ACAAcABvAGkAbgB0AFwAbgAgACAAIAAgACAAIAAgACAAIAAgACAAIAAgACAAIAAgACAAIAAgACAAIAAgACAAIAAoAEkATgBEAEUAWAAoAHkAcwAsAGkAKwAxACkALQBJAE4ARABFAFgAKAB5AHMALABpACkAKQAvACgASQBOAEQARQBYACgAeABzACwAaQArADEAKQAtAEkATgBEAEUAWAAoAHgAcwAsAGkAKQApAFwAbgAgACAAIAAgACAAIAAgACAAIAAgACAAIAAgACAAIAAgACAAIAAgACAAKQAsAFwAbgAgACAAIAAgACAAIAAgACAAIAAgACAAIAAgACAAIAAgACAAIAAgACAASQBGACgAIABpAD0AbgAsAFwAbgAgACAAIAAgACAAIAAgACAAIAAgACAAIAAgACAAIAAgACAAIAAgACAAIAAgACAAIABJAEYAKAAgAFIATwBXAFMAKABtAHMAKQA9ADIALABcAG4AIAAgACAAIAAgACAAIAAgACAAIAAgACAAIAAgACAAIAAgACAAIAAgACAAIAAgACAAIAAgACAAIABJAE4ARABFAFgAKABtAHMALAAyACkALABcAG4AIAAgACAAIAAgACAAIAAgACAAIAAgACAAIAAgACAAIAAgACAAIAAgACAAIAAgACAAIAAgACAAIAAvAC8AIABCAGEAYwBrAHcAYQByAGQAIABkAGkAZgBmAGUAcgBlAG4AYwBlACAAYQB0ACAAdABoAGUAIABsAGEAcwB0ACAAcABvAGkAbgB0AFwAbgAgACAAIAAgACAAIAAgACAAIAAgACAAIAAgACAAIAAgACAAIAAgACAAIAAgACAAIAAgACAAIAAgACgASQBOAEQARQBYACgAeQBzACwAaQApAC0ASQBOAEQARQBYACgAeQBzACwAaQAtADEAKQApAC8AKABJAE4ARABFAFgAKAB4AHMALABpACkALQBJAE4ARABFAFgAKAB4AHMALABpAC0AMQApACkAXABuACAAIAAgACAAIAAgACAAIAAgACAAIAAgACAAIAAgACAAIAAgACAAIAAgACAAIAAgACkALABcAG4AIAAgACAAIAAgACAAIAAgACAAIAAgACAAIAAgACAAIAAgACAAIAAgACAAIAAgACAALwAvACAAQwBlAG4AdAByAGEAbAAgAGQAaQBmAGYAZQByAGUAbgBjAGUAIABhAHQAIABpAG4AdABlAHIAaQBvAHIAIABwAG8AaQBuAHQAcwBcAG4AIAAgACAAIAAgACAAIAAgACAAIAAgACAAIAAgACAAIAAgACAAIAAgACAAIAAgACAAMAAuADUAKgAoAFwAbgAgACAAIAAgACAAIAAgACAAIAAgACAAIAAgACAAIAAgACAAIAAgACAAIAAgACAAIAAgACAAIAAgACgASQBOAEQARQBYACgAeQBzACwAaQArADEAKQAtAEkATgBEAEUAWAAoAHkAcwAsAGkAKQApAC8AKABJAE4ARABFAFgAKAB4AHMALABpACsAMQApAC0ASQBOAEQARQBYACgAeABzACwAaQApACkAIAArAFwAbgAgACAAIAAgACAAIAAgACAAIAAgACAAIAAgACAAIAAgACAAIAAgACAAIAAgACAAIAAgACAAIAAgACgASQBOAEQARQBYACgAeQBzACwAaQApAC0ASQBOAEQARQBYACgAeQBzACwAaQAtADEAKQApAC8AKABJAE4ARABFAFgAKAB4AHMALABpACkALQBJAE4ARABFAFgAKAB4AHMALABpAC0AMQApACkAXABuACAAIAAgACAAIAAgACAAIAAgACAAIAAgACAAIAAgACAAIAAgACAAIAAgACAAIAAgACkAXABuACAAIAAgACAAIAAgACAAIAAgACAAIAAgACAAIAAgACAAIAAgACAAIAApAFwAbgAgACAAIAAgACAAIAAgACAAIAAgACAAIAAgACAAIAAgACkAXABuACAAIAAgACAAIAAgACAAIAAgACAAIAAgACkAKQBcAG4AIAAgACAAIAAgACAAIAAgACkALABcAG4AIAAgACAAIAAgACAAIAAgAG0AcwBcAG4AIAAgACAAIAApACwAXABuAFwAbgAgACAAIAAgAC8ALwAgAFMAdABlAHAAIAAzADoAIABDAG8AbQBwAHUAdABlACAAcABpAGUAYwBlAHcAaQBzAGUAIABwAG8AbAB5AG4AbwBtAGkAYQBsACAAYwBvAGUAZgBmAGkAYwBpAGUAbgB0AHMAXABuACAAIAAgACAALwAvACAARQBhAGMAaAAgAGkAbgB0AGUAcgB2AGEAbAAgAFsAeABfAGkALAAgAHgAXwBpACsAMQBdACAAaQBzACAAcgBlAHAAcgBlAHMAZQBuAHQAZQBkACAAYgB5ACAAYQAgAGMAdQBiAGkAYwAgAHAAbwBsAHkAbgBvAG0AaQBhAGwAOgBcAG4AIAAgACAAIAAvAC8AIABQACgAeAApACAAPQAgAGEAKgAoAHgAIAAtACAAeABfAGkAKQBeADMAIAArACAAYgAqACgAeAAgAC0AIAB4AF8AaQApAF4AMgAgACsAIABjACoAKAB4ACAALQAgAHgAXwBpACkAIAArACAAZABcAG4AIAAgACAAIABwAHAAXwBjAG8AZQBmAGYAcwAsACAAUgBFAEQAVQBDAEUAKAAwACwAIABTAEUAUQBVAEUATgBDAEUAKABuACAALQAgADEAKQAsACAATABBAE0AQgBEAEEAKABhAGMAYwAsACAAaQAsAFwAbgAgACAAIAAgACAAIAAgACAATABFAFQAKABcAG4AIAAgACAAIAAgACAAIAAgACAAIAAgACAAZAB4ACwAIABJAE4ARABFAFgAKAB4AHMALAAgAGkAKwAxACkAIAAtACAASQBOAEQARQBYACgAeABzACwAIABpACkALABcAG4AIAAgACAAIAAgACAAIAAgACAAIAAgACAAeQBfADEALAAgAEkATgBEAEUAWAAoAHkAcwAsACAAaQApACwAXABuACAAIAAgACAAIAAgACAAIAAgACAAIAAgAHkAXwAyACwAIABJAE4ARABFAFgAKAB5AHMALAAgAGkAKwAxACkALABcAG4AIAAgACAAIAAgACAAIAAgACAAIAAgACAAbQBfADEALAAgAEkATgBEAEUAWAAoAHMAbABvAHAAZQAsACAAaQApACoAZAB4ACwAXABuACAAIAAgACAAIAAgACAAIAAgACAAIAAgAG0AXwAyACwAIABJAE4ARABFAFgAKABzAGwAbwBwAGUALAAgAGkAKwAxACkAKgBkAHgALABcAG4AIAAgACAAIAAgACAAIAAgACAAIAAgACAAYwBvAGUAZgBmAHMALAAgAEgAUwBUAEEAQwBLACgAXABuACAAIAAgACAAIAAgACAAIAAgACAAIAAgACAAIAAgACAAKAAyACoAeQBfADEAIAAtACAAMgAqAHkAXwAyACAAKwAgAG0AXwAxACAAKwAgAG0AXwAyACkAIAAvACAAZAB4AF4AMwAsAFwAbgAgACAAIAAgACAAIAAgACAAIAAgACAAIAAgACAAIAAgACgALQAzACoAeQBfADEAIAArACAAMwAqAHkAXwAyACAALQAgADIAKgBtAF8AMQAgAC0AIABtAF8AMgApACAALwAgAGQAeABeADIALABcAG4AIAAgACAAIAAgACAAIAAgACAAIAAgACAAIAAgACAAIABtAF8AMQAgAC8AIABkAHgALABcAG4AIAAgACAAIAAgACAAIAAgACAAIAAgACAAIAAgACAAIAB5AF8AMQBcAG4AIAAgACAAIAAgACAAIAAgACAAIAAgACAAKQAsAFwAbgAgACAAIAAgACAAIAAgACAAIAAgACAAIABJAEYAKAAgAGkAPQAxACwAIABjAG8AZQBmAGYAcwAsACAAVgBTAFQAQQBDAEsAKABhAGMAYwAsACAAYwBvAGUAZgBmAHMAKQApAFwAbgAgACAAIAAgACAAIAAgACAAKQBcAG4AIAAgACAAIAApACkALABcAG4AXABuACAAIAAgACAALwAvACAAUwB0AGUAcAAgADQAOgAgAEEAcwBzAGUAbQBiAGwAZQAgAHQAaABlACAAcABpAGUAYwBlAHcAaQBzAGUAIABwAG8AbAB5AG4AbwBtAGkAYQBsACAAZABhAHQAYQAgAHMAdAByAHUAYwB0AHUAcgBlAFwAbgAgACAAIAAgAHAAcAAsACAATQBBAFAAKABIAFMAVABBAEMASwAoAHgAcwAsACAAcABwAF8AYwBvAGUAZgBmAHMAKQAsACAATABBAE0AQgBEAEEAKABjAGUAbABsACwAIABJAEYARQBSAFIATwBSACgAYwBlAGwAbAAsACAAXAAiAFwAIgApACkAKQAsAFwAbgBcAG4AIAAgACAAIAAvAC8AIABTAHQAZQBwACAANQA6ACAASQBuAHQAZQByAHAAbwBsAGEAdABlACAAaQBmACAAeAAgAHYAYQBsAHUAZQBzACAAYQByAGUAIABwAHIAbwB2AGkAZABlAGQALAAgAG8AcgAgAHIAZQB0AHUAcgBuACAAYwBvAGUAZgBmAGkAYwBpAGUAbgB0AHMAXABuACAAIAAgACAASQBGACgASQBTAE8ATQBJAFQAVABFAEQAKAB4ACkALABcAG4AIAAgACAAIAAgACAAIAAgAHAAcAAsAFwAbgAgACAAIAAgACAAIAAgACAAUABQAFYAQQBMACgAcABwACwAeAApAFwAbgAgACAAIAAgACkAXABuACkAKQA7AFwAbgBcAG4ALwAqACoAXABuACoAIABOAGEAdAB1AHIAYQBsACAAQwB1AGIAaQBjACAAUwBwAGwAaQBuAGUAIAAtACAAQwByAGUAYQB0AGUAcwAgAGEAIABDADIAIABJAG4AdABlAHIAcABvAGwAYQB0AGkAbgBnACAAUwBwAGwAaQBuAGUAIAB3AGkAdABoACAAZAAyAHkALwBkAHgAMgA9ADAAIABhAHQAIAB0AGgAZQAgAGUAbgBkAHAAbwBpAG4AdABzAC4AXABuACoALwBcAG4ALwAqAFwAbgAqACAASQBuAHAAdQB0AHMAOgBcAG4AKgAgACAAIABrAG4AbwB3AG4AXwB4AHMAOgAgAEEAIABjAG8AbAB1AG0AbgAgAHYAZQBjAHQAbwByACAAbwBmACAAawBuAG8AdwBuACAAeAAtAHYAYQBsAHUAZQBzACAAKABpAG4AZABlAHAAZQBuAGQAZQBuAHQAIAB2AGEAcgBpAGEAYgBsAGUAKQAuAFwAbgAqACAAIAAgAGsAbgBvAHcAbgBfAHkAcwA6ACAAQQAgAGMAbwBsAHUAbQBuACAAdgBlAGMAdABvAHIAIABvAGYAIABrAG4AbwB3AG4AIAB5AC0AdgBhAGwAdQBlAHMAIAAoAGQAZQBwAGUAbgBkAGUAbgB0ACAAdgBhAHIAaQBhAGIAbABlACkALgBcAG4AKgAgACAAIABbAHgAXQA6ACAATwBwAHQAaQBvAG4AYQBsAC4AIABUAGgAZQAgAHYAYQBsAHUAZQAoAHMAKQAgAHQAbwAgAGkAbgB0AGUAcgBwAG8AbABhAHQAZQAuACAASQBmACAAbwBtAGkAdAB0AGUAZAAsACAAcgBlAHQAdQByAG4AcwAgAHQAaABlACAAcABpAGUAYwBlAHcAaQBzAGUAIABwAG8AbAB5AG4AbwBtAGkAYQBsACAAcABhAHIAYQBtAGUAdABlAHIAcwAuAFwAbgAqAFwAbgAqACAATwB1AHQAcAB1AHQAcwA6AFwAbgAqACAAIAAgAFIAZQB0AHUAcgBuAHMAIAB0AGgAZQAgAGkAbgB0AGUAcgBwAG8AbABhAHQAZQBkACAAdgBhAGwAdQBlACgAcwApACAAZgBvAHIAIAB4ACwAIABvAHIAIAB0AGgAZQAgAHAAaQBlAGMAZQB3AGkAcwBlACAAcABvAGwAeQBuAG8AbQBpAGEAbAAgAGMAbwBlAGYAZgBpAGMAaQBlAG4AdABzACAAaQBmACAAeAAgAGkAcwAgAG8AbQBpAHQAdABlAGQALgBcAG4AKgBcAG4AKgAgAE4AbwB0AGUAcwA6AFwAbgAqACAAIAAgAC0AIABFAG4AcwB1AHIAZQBzACAAQwAyACAAYwBvAG4AdABpAG4AdQBpAHQAeQAgAGEAbgBkACAAbgBhAHQAdQByAGEAbAAgAHMAcABsAGkAbgBlACAAYwBvAG4AZABpAHQAaQBvAG4AcwAgACgAcwBlAGMAbwBuAGQAIABkAGUAcgBpAHYAYQB0AGkAdgBlACAAaQBzACAAegBlAHIAbwAgAGEAdAAgAGUAbgBkAHAAbwBpAG4AdABzACkALgBcAG4AKgAgACAAIAAtACAAUwB1AHAAcABvAHIAdABzACAAbQB1AGwAdABpAHAAbABlACAAeAAgAHYAYQBsAHUAZQBzACAAZgBvAHIAIABpAG4AdABlAHIAcABvAGwAYQB0AGkAbwBuAC4AXABuACoAIAAgACAALQAgAFIAZQB0AHUAcgBuAHMAIAAwACAAZgBvAHIAIABlAHgAdAByAGEAcABvAGwAYQB0AGUAZAAgAHYAYQBsAHUAZQBzACAAYgBlAHkAbwBuAGQAIAB0AGgAZQAgAHIAYQBuAGcAZQAgAG8AZgAgAGsAbgBvAHcAbgBfAHgAcwAgAGEAbgBkACAAawBuAG8AdwBuAF8AeQBzAC4AXABuACoAXABuACoAIABSAGUAcQB1AGkAcgBlAHMAOgAgAFAATwBMAFkAVgBBAEwALAAgAFAATwBMAFkARABFAFIALAAgAFAAUABWAEEATABcAG4AKgAvAFwAbgBOAFMAUABMAEkATgBFACAAPQAgAEwAQQBNAEIARABBACgAawBuAG8AdwBuAF8AeABzACwAIABrAG4AbwB3AG4AXwB5AHMALAAgAFsAeABdACwAXABuAEwARQBUACgAZABvAGMALAAgAFwAIgBoAHQAdABwAHMAOgAvAC8AdwB3AHcALgB2AGUAcgB0AGUAeAA0ADIALgBjAG8AbQAvAGwAYQBtAGIAZABhAC8AbgBzAHAAbABpAG4AZQAuAGgAdABtAGwAXAAiACwAIABcAG4AIAAgACAAIAB2AGUAcgBzAGkAbwBuACwAIABcACIAMQAuADAALgAxACAALQAgAFUAcABkAGEAdABlAGQAIABjAG8AbQBtAGUAbgB0AGkAbgBnAFwAIgAsAFwAbgAgACAAIAAgAC8ALwAgAFMAdABlAHAAIAAxADoAIABFAG4AcwB1AHIAZQAgAHgAcwAgAGEAbgBkACAAeQBzACAAYQByAGUAIABjAG8AbAB1AG0AbgAgAHYAZQBjAHQAbwByAHMAXABuACAAIAAgACAAeABzACwAIABJAEYAKABBAE4ARAAoAFIATwBXAFMAKABrAG4AbwB3AG4AXwB4AHMAKQAgAD0AIAAxACwAIABDAE8ATABVAE0ATgBTACgAawBuAG8AdwBuAF8AeABzACkAIAA+ACAAMQApACwAIABUAFIAQQBOAFMAUABPAFMARQAoAGsAbgBvAHcAbgBfAHgAcwApACwAIABrAG4AbwB3AG4AXwB4AHMAKQAsAFwAbgAgACAAIAAgAHkAcwAsACAASQBGACgAQQBOAEQAKABSAE8AVwBTACgAawBuAG8AdwBuAF8AeQBzACkAIAA9ACAAMQAsACAAQwBPAEwAVQBNAE4AUwAoAGsAbgBvAHcAbgBfAHkAcwApACAAPgAgADEAKQAsACAAVABSAEEATgBTAFAATwBTAEUAKABrAG4AbwB3AG4AXwB5AHMAKQAsACAAawBuAG8AdwBuAF8AeQBzACkALABcAG4AXABuACAAIAAgACAALwAvACAAUwB0AGUAcAAgADIAOgAgAEMAYQBsAGMAdQBsAGEAdABlACAAZABpAGYAZgBlAHIAZQBuAGMAZQBzACAAYgBlAHQAdwBlAGUAbgAgAGMAbwBuAHMAZQBjAHUAdABpAHYAZQAgAHgALQB2AGEAbAB1AGUAcwAgACgAaAApACAAYQBuAGQAIABvAHQAaABlAHIAIABwAHIAZQBsAGkAbQBpAG4AYQByAGkAZQBzAFwAbgAgACAAIAAgAGgALAAgAEQAUgBPAFAAKAB4AHMALAAgADEAKQAgAC0AIABEAFIATwBQACgAeABzACwAIAAtADEAKQAsAFwAbgAgACAAIAAgAG4ALAAgAFIATwBXAFMAKAB4AHMAKQAsAFwAbgAgACAAIAAgAGEAbABwAGgAYQAsACAAMwAgAC8AIABEAFIATwBQACgAaAAsACAAMQApACAAKgAgACgARABSAE8AUAAoAHkAcwAsACAAMgApACAALQAgAEQAUgBPAFAAKABEAFIATwBQACgAeQBzACwAIAAxACkALAAgAC0AMQApACkAIABcAG4AIAAgACAAIAAgACAAIAAgAC0AIAAzACAALwAgAEQAUgBPAFAAKABoACwAIAAtADEAKQAgACoAIAAoAEQAUgBPAFAAKABEAFIATwBQACgAeQBzACwAIAAxACkALAAgAC0AMQApACAALQAgAEQAUgBPAFAAKAB5AHMALAAgAC0AMgApACkALABcAG4AXABuACAAIAAgACAALwAvACAAUwB0AGUAcAAgADMAOgAgAFMAbwBsAHYAZQAgAHQAaABlACAAdAByAGkAZABpAGEAZwBvAG4AYQBsACAAcwB5AHMAdABlAG0AIABmAG8AcgAgAHQAaABlACAAcwBwAGwAaQBuAGUAIABjAG8AZQBmAGYAaQBjAGkAZQBuAHQAcwBcAG4AIAAgACAAIABsAF8AbQB1AF8AegAsACAAUgBFAEQAVQBDAEUAKAB7ADEALAAgADAALAAgADAAfQAsACAAUwBFAFEAVQBFAE4AQwBFACgAbgAgAC0AIAAyACwAIAAxACwAIAAyACwAIAAxACkALAAgAEwAQQBNAEIARABBACgAYQBjAGMALAAgAGkALABcAG4AIAAgACAAIAAgACAAIAAgAEwARQBUACgAXABuACAAIAAgACAAIAAgACAAIAAgACAAIAAgAG0AdQBfAG8ALAAgAEkATgBEAEUAWAAoAGEAYwBjACwAIABpACAALQAgADEALAAgADIAKQAsAFwAbgAgACAAIAAgACAAIAAgACAAIAAgACAAIAB6AF8AbwAsACAASQBOAEQARQBYACgAYQBjAGMALAAgAGkAIAAtACAAMQAsACAAMwApACwAXABuACAAIAAgACAAIAAgACAAIAAgACAAIAAgAGwAaQAsACAAMgAgACoAIAAoAEkATgBEAEUAWAAoAHgAcwAsACAAaQAgACsAIAAxACkAIAAtACAASQBOAEQARQBYACgAeABzACwAIABpACAALQAgADEAKQApACAALQAgAEkATgBEAEUAWAAoAGgALAAgAGkAIAAtACAAMQApACAAKgAgAG0AdQBfAG8ALABcAG4AIAAgACAAIAAgACAAIAAgACAAIAAgACAAbQB1AGkALAAgAEkATgBEAEUAWAAoAGgALAAgAGkAKQAgAC8AIABsAGkALABcAG4AIAAgACAAIAAgACAAIAAgACAAIAAgACAAegBpACwAIAAoAEkATgBEAEUAWAAoAGEAbABwAGgAYQAsACAAaQAgAC0AIAAxACkAIAAtACAASQBOAEQARQBYACgAaAAsACAAaQAgAC0AIAAxACkAIAAqACAAegBfAG8AKQAgAC8AIABsAGkALABcAG4AIAAgACAAIAAgACAAIAAgACAAIAAgACAAcgBlAHQALAAgAFYAUwBUAEEAQwBLACgAYQBjAGMALAAgAEgAUwBUAEEAQwBLACgAbABpACwAIABtAHUAaQAsACAAegBpACkAKQAsAFwAbgAgACAAIAAgACAAIAAgACAAIAAgACAAIABJAEYAKABpACAAPQAgAG4AIAAtACAAMQAsACAAVgBTAFQAQQBDAEsAKAByAGUAdAAsACAAewAxACwAIAAwACwAIAAwAH0AKQAsACAAcgBlAHQAKQBcAG4AIAAgACAAIAAgACAAIAAgACkAXABuACAAIAAgACAAKQApACwAXABuACAAIAAgACAAbABpACwAIABJAE4ARABFAFgAKABsAF8AbQB1AF8AegAsACAALAAgADEAKQAsAFwAbgAgACAAIAAgAG0AdQBpACwAIABJAE4ARABFAFgAKABsAF8AbQB1AF8AegAsACAALAAgADIAKQAsAFwAbgAgACAAIAAgAHoAaQAsACAASQBOAEQARQBYACgAbABfAG0AdQBfAHoALAAgACwAIAAzACkALABcAG4AXABuACAAIAAgACAALwAvACAAUwB0AGUAcAAgADQAOgAgAEIAYQBjAGsALQBzAHUAYgBzAHQAaQB0AHUAdABlACAAdABvACAAYwBvAG0AcAB1AHQAZQAgAHQAaABlACAAYwB1AGIAaQBjACAAYwBvAGUAZgBmAGkAYwBpAGUAbgB0AHMAXABuACAAIAAgACAAZABfAGMAXwBiACwAIABSAEUARABVAEMARQAoAHsAMAAsACAAMAAsACAAMAB9ACwAIABTAEUAUQBVAEUATgBDAEUAKABuACAALQAgADEALAAgADEALAAgAG4AIAAtACAAMQAsACAALQAxACkALAAgAEwAQQBNAEIARABBACgAYQBjAGMALAAgAGoALABcAG4AIAAgACAAIAAgACAAIAAgAEwARQBUACgAXABuACAAIAAgACAAIAAgACAAIAAgACAAIAAgAGMAbwAsACAASQBOAEQARQBYACgAYQBjAGMALAAgADEALAAgADIAKQAsAFwAbgAgACAAIAAgACAAIAAgACAAIAAgACAAIABjAGoALAAgAEkATgBEAEUAWAAoAHoAaQAsACAAagApACAALQAgAEkATgBEAEUAWAAoAG0AdQBpACwAIABqACkAIAAqACAAYwBvACwAXABuACAAIAAgACAAIAAgACAAIAAgACAAIAAgAGIAagAsACAAKABJAE4ARABFAFgAKAB5AHMALAAgAGoAIAArACAAMQApACAALQAgAEkATgBEAEUAWAAoAHkAcwAsACAAagApACkAIAAvACAASQBOAEQARQBYACgAaAAsACAAagApACAALQAgADEAIAAvACAAMwAgACoAIABJAE4ARABFAFgAKABoACwAIABqACkAIAAqACAAKABjAG8AIAArACAAMgAgACoAIABjAGoAKQAsAFwAbgAgACAAIAAgACAAIAAgACAAIAAgACAAIABkAGoALAAgACgAYwBvACAALQAgAGMAagApACAALwAgACgAMwAgACoAIABJAE4ARABFAFgAKABoACwAIABqACkAKQAsAFwAbgAgACAAIAAgACAAIAAgACAAIAAgACAAIAByAGUAdAAsACAAVgBTAFQAQQBDAEsAKABIAFMAVABBAEMASwAoAGQAagAsACAAYwBqACwAIABiAGoAKQAsACAAYQBjAGMAKQAsAFwAbgAgACAAIAAgACAAIAAgACAAIAAgACAAIAByAGUAdABcAG4AIAAgACAAIAAgACAAIAAgACkAXABuACAAIAAgACAAKQApACwAXABuACAAIAAgACAAcABwACwAIABNAEEAUAAoAEgAUwBUAEEAQwBLACgAeABzACwAIABEAFIATwBQACgASABTAFQAQQBDAEsAKABkAF8AYwBfAGIALAAgAHkAcwApACwAIAAtADEAKQApACwAIABMAEEATQBCAEQAQQAoAGMAZQBsAGwALAAgAEkARgBFAFIAUgBPAFIAKABjAGUAbABsACwAIABcACIAXAAiACkAKQApACwAXABuAFwAbgAgACAAIAAgAC8ALwAgAFMAdABlAHAAIAA1ADoAIABIAGEAbgBkAGwAZQAgAGUAeAB0AHIAYQBwAG8AbABhAHQAaQBvAG4AIAAoAGwAaQBuAGUAYQByACAAaQBuAHQAZQByAHAAbwBsAGEAdABpAG8AbgAgAGEAdAAgAHQAaABlACAAZQBuAGQAcABvAGkAbgB0AHMAKQBcAG4AIAAgACAAIABtAF8AMQAsACAAUABPAEwAWQBWAEEATAAoAFAATwBMAFkARABFAFIAKABEAFIATwBQACgAQwBIAE8ATwBTAEUAUgBPAFcAUwAoAHAAcAAsACAAMQApACwAIAAwACwAIAAxACkAKQAsACAAMAApACwAXABuACAAIAAgACAAYgBfADEALAAgAEkATgBEAEUAWAAoAGsAbgBvAHcAbgBfAHkAcwAsACAAMQAsACAAMQApACAALQAgAG0AXwAxACAAKgAgAEkATgBEAEUAWAAoAGsAbgBvAHcAbgBfAHgAcwAsACAAMQAsACAAMQApACwAXABuACAAIAAgACAAbQBfAG4ALAAgAFAATwBMAFkAVgBBAEwAKABQAE8ATABZAEQARQBSACgARABSAE8AUAAoAEMASABPAE8AUwBFAFIATwBXAFMAKABwAHAALAAgAG4AIAAtACAAMQApACwAIAAwACwAIAAxACkAKQAsACAASQBOAEQARQBYACgAcABwACwAIABuACwAIAAxACkAIAAtACAASQBOAEQARQBYACgAcABwACwAIABuACAALQAgADEALAAgADEAKQApACwAXABuACAAIAAgACAAYgBfAG4ALAAgAEkATgBEAEUAWAAoAGsAbgBvAHcAbgBfAHkAcwAsACAAbgAsACAAMQApACAALQAgAG0AXwBuACAAKgAgAEkATgBEAEUAWAAoAGsAbgBvAHcAbgBfAHgAcwAsACAAbgAsACAAMQApACwAXABuAFwAbgAgACAAIAAgAC8ALwAgAFMAdABlAHAAIAA2ADoAIABJAG4AdABlAHIAcABvAGwAYQB0AGUAIABvAHIAIAByAGUAdAB1AHIAbgAgAGMAbwBlAGYAZgBpAGMAaQBlAG4AdABzAFwAbgAgACAAIAAgAEkARgAoAEkAUwBPAE0ASQBUAFQARQBEACgAeAApACwAIABwAHAALABcAG4AIAAgACAAIAAgACAAIAAgACgAeAAgADwAIABJAE4ARABFAFgAKABrAG4AbwB3AG4AXwB4AHMALAAgADEALAAgADEAKQApACAAKgAgACgAbQBfADEAIAAqACAAeAAgACsAIABiAF8AMQApACAAKwBcAG4AIAAgACAAIAAgACAAIAAgACgAeAAgAD4AIABJAE4ARABFAFgAKABrAG4AbwB3AG4AXwB4AHMALAAgAG4ALAAgADEAKQApACAAKgAgACgAbQBfAG4AIAAqACAAeAAgACsAIABiAF8AbgApACAAKwBcAG4AIAAgACAAIAAgACAAIAAgAEkARgBFAFIAUgBPAFIAKABQAFAAVgBBAEwAKABwAHAALAAgAHgAKQAsACAAMAApAFwAbgAgACAAIAAgACkAXABuACkAKQA7AFwAbgBcAG4ALwAqACoAXABuACoAIABDADIAIABJAG4AdABlAHIAcABvAGwAYQB0AGkAbgBnACAAQwB1AGIAaQBjACAAUwBwAGwAaQBuAGUAIAB3AGkAdABoACAAcwBwAGUAYwBpAGYAaQBlAGQAIABlAG4AZAAgAGMAbwBuAGQAaQB0AGkAbwBuAHMAOgAgAFwAIgBuAG8AdABcACIALAAgAFwAIgBmAHIAZQBlAFwAIgAsACAAbwByACAAcwBsAG8AcABlAC4AXABuACoAIABTAG8AbAB2AGUAcwAgAGEAIABzAHkAcwB0AGUAbQAgAG8AZgAgAGwAaQBuAGUAYQByACAAYwBvAG4AcwB0AHIAYQBpAG4AdAAgAGUAcQB1AGEAdABpAG8AbgBzAC4AIABNAHUAcwB0ACAAdQBzAGUAIABhAHQAIABsAGUAYQBzAHQAIAAzACAAYwBvAG4AdAByAG8AbAAgAHAAbwBpAG4AdABzAC4AXABuACoALwBcAG4AUwBQAEwASQBOAEUAIAA9ACAATABBAE0AQgBEAEEAKABrAG4AbwB3AG4AXwB4AHMALABrAG4AbwB3AG4AXwB5AHMALABbAHgAXQAsAFsAYwBvAG4AZABfAHMAdABhAHIAdABdACwAWwBjAG8AbgBkAF8AZQBuAGQAXQAsAFsAZABlAGIAdQBnAF0ALABcAG4ASQBGACgATQBBAFgAKABSAE8AVwBTACgAawBuAG8AdwBuAF8AeQBzACkALABDAE8ATABVAE0ATgBTACgAawBuAG8AdwBuAF8AeQBzACkAKQA8ADMALABOAEEAKAApACwAXABuAEwARQBUACgAZABvAGMALABcACIAaAB0AHQAcABzADoALwAvAHcAdwB3AC4AdgBlAHIAdABlAHgANAAyAC4AYwBvAG0ALwBsAGEAbQBiAGQAYQAvAHMAcABsAGkAbgBlAC4AaAB0AG0AbABcACIALABcAG4AIAAgACAAIABjAG8AbgBkAF8AcwB0AGEAcgB0ACwASQBGACgASQBTAE8ATQBJAFQAVABFAEQAKABjAG8AbgBkAF8AcwB0AGEAcgB0ACkALABcACIAbgBvAHQAXAAiACwAYwBvAG4AZABfAHMAdABhAHIAdAApACwAXABuACAAIAAgACAAYwBvAG4AZABfAGUAbgBkACwASQBGACgASQBTAE8ATQBJAFQAVABFAEQAKABjAG8AbgBkAF8AZQBuAGQAKQAsAFwAIgBuAG8AdABcACIALABjAG8AbgBkAF8AZQBuAGQAKQAsAFwAbgAgACAAIAAgAHgAcwAsAEkARgAoAEEATgBEACgAUgBPAFcAUwAoAGsAbgBvAHcAbgBfAHgAcwApAD0AMQAsAEMATwBMAFUATQBOAFMAKABrAG4AbwB3AG4AXwB4AHMAKQA+ADEAKQAsAFQAUgBBAE4AUwBQAE8AUwBFACgAawBuAG8AdwBuAF8AeABzACkALABrAG4AbwB3AG4AXwB4AHMAKQAsAFwAbgAgACAAIAAgAHkAcwAsAEkARgAoAEEATgBEACgAUgBPAFcAUwAoAGsAbgBvAHcAbgBfAHkAcwApAD0AMQAsAEMATwBMAFUATQBOAFMAKABrAG4AbwB3AG4AXwB5AHMAKQA+ADEAKQAsAFQAUgBBAE4AUwBQAE8AUwBFACgAawBuAG8AdwBuAF8AeQBzACkALABrAG4AbwB3AG4AXwB5AHMAKQAsAFwAbgAgACAAIAAgAGgALABEAFIATwBQACgAeABzACwAMQAsADAAKQAtAEQAUgBPAFAAKAB4AHMALAAtADEALAAwACkALABcAG4AIAAgACAAIABzAGkALABEAFIATwBQACgAaAAsAC0AMQAsADAAKQAvAEQAUgBPAFAAKABoACwAMQAsADAAKQAsAFwAbgAgACAAIAAgAG4ALABSAE8AVwBTACgAeABzACkALABcAG4AIAAgACAAIABkAG0AYQB0ACwAewAxACwAMQAsADEAOwAzACwAMgAsADEAOwAzACwAMQAsADAAfQAsAFwAbgAgACAAIAAgAGMAbwBuAHMAdAByAGEAaQBuAHQAcwAsAFIARQBEAFUAQwBFACgAUwBFAFEAVQBFAE4AQwBFACgAMwAsADMALAAwACwAMAApACwAUwBFAFEAVQBFAE4AQwBFACgAbgAtADIAKQAsAEwAQQBNAEIARABBACgAYQBjAGMALABpACwATABFAFQAKABcAG4AIAAgACAAIAAgACAAIAAgAHMAbQBhAHQALABWAFMAVABBAEMASwAoAHsAMAAsADAALAAwAH0ALABIAFMAVABBAEMASwAoADAALAAwACwALQBJAE4ARABFAFgAKABzAGkALABpACwAMQApACkALABIAFMAVABBAEMASwAoADAALAAtACgASQBOAEQARQBYACgAcwBpACwAaQAsADEAKQBeADIAKQAsADAAKQApACwAXABuACAAIAAgACAAIAAgACAAIABJAEYAKABpAD0AMQAsAEkARgAoAG4APgAzACwASABTAFQAQQBDAEsAKABkAG0AYQB0ACwAcwBtAGEAdAAsAFMARQBRAFUARQBOAEMARQAoADMALAAzACoAKABuAC0AMwApACwAMAAsADAAKQApACwASABTAFQAQQBDAEsAKABkAG0AYQB0ACwAcwBtAGEAdAApACkALABcAG4AIAAgACAAIAAgACAAIAAgAEkARgAoAGkAPQBuAC0AMgAsAFYAUwBUAEEAQwBLACgAYQBjAGMALABIAFMAVABBAEMASwAoAFMARQBRAFUARQBOAEMARQAoADMALAAzACoAKABuAC0AMwApACwAMAAsADAAKQAsAGQAbQBhAHQALABzAG0AYQB0ACkAKQAsAFwAbgAgACAAIAAgACAAIAAgACAAIAAgACAAIABWAFMAVABBAEMASwAoAGEAYwBjACwASABTAFQAQQBDAEsAKABTAEUAUQBVAEUATgBDAEUAKAAzACwAMwAqACgAaQAtADEAKQAsADAALAAwACkALABkAG0AYQB0ACwAcwBtAGEAdAAsAFMARQBRAFUARQBOAEMARQAoADMALAAzACoAKABuAC0AMgAtAGkAKQAsADAALAAwACkAKQApAFwAbgAgACAAIAAgACAAIAAgACAAKQApAFwAbgAgACAAIAAgACkAKQApACwAXABuACAAIAAgACAAYQBtAGEAdAByAGkAeAAsAFYAUwBUAEEAQwBLACgAYwBvAG4AcwB0AHIAYQBpAG4AdABzACwAXABuACAAIAAgACAAIAAgACAAIABIAFMAVABBAEMASwAoAFMARQBRAFUARQBOAEMARQAoADEALAAzACoAKABuAC0AMgApACwAMAAsADAAKQAsAHsAMQAsADEALAAxAH0AKQAsAFwAbgAgACAAIAAgACAAIAAgACAAUwBXAEkAVABDAEgAKABjAG8AbgBkAF8AcwB0AGEAcgB0ACwAXABuACAAIAAgACAAIAAgACAAIAAgACAAIAAgAFwAIgBmAHIAZQBlAFwAIgAsAEgAUwBUAEEAQwBLACgAMAAsADEALAAwACwAUwBFAFEAVQBFAE4AQwBFACgAMQAsADMAKgAoAG4ALQAyACkALAAwACwAMAApACkALABcAG4AIAAgACAAIAAgACAAIAAgACAAIAAgACAAXAAiAG4AbwB0AFwAIgAsAEgAUwBUAEEAQwBLACgAMQAsADAALAAwACwALQAoAEkATgBEAEUAWAAoAHMAaQAsADEALAAxACkAXgAzACkALABTAEUAUQBVAEUATgBDAEUAKAAxACwAMwAqACgAbgAtADIAKQAtADEALAAwACwAMAApACkALABcAG4AIAAgACAAIAAgACAAIAAgACAAIAAgACAASABTAFQAQQBDAEsAKAAwACwAMAAsADEALABTAEUAUQBVAEUATgBDAEUAKAAxACwAMwAqACgAbgAtADIAKQAsADAALAAwACkAKQBcAG4AIAAgACAAIAAgACAAIAAgACkALABcAG4AIAAgACAAIAAgACAAIAAgAFMAVwBJAFQAQwBIACgAYwBvAG4AZABfAGUAbgBkACwAXABuACAAIAAgACAAIAAgACAAIAAgACAAIAAgAFwAIgBmAHIAZQBlAFwAIgAsAEgAUwBUAEEAQwBLACgAUwBFAFEAVQBFAE4AQwBFACgAMQAsADMAKgAoAG4ALQAyACkALAAwACwAMAApACwAMwAsADEALAAwACkALABcAG4AIAAgACAAIAAgACAAIAAgACAAIAAgACAAXAAiAG4AbwB0AFwAIgAsAEkARgAoAG4APgAzACwAXABuACAAIAAgACAAIAAgACAAIAAgACAAIAAgACAAIAAgACAASABTAFQAQQBDAEsAKABTAEUAUQBVAEUATgBDAEUAKAAxACwAMwAqACgAbgAtADMAKQAsADAALAAwACkALAAxACwAMAAsADAALAAtACgASQBOAEQARQBYACgAcwBpACwAbgAtADIALAAxACkAXgAzACkALAAwACwAMAApACwAXABuACAAIAAgACAAIAAgACAAIAAgACAAIAAgACAAIAAgACAASABTAFQAQQBDAEsAKAAwACwAMAAsADAALAAzACwAMQAsADAAKQBcAG4AIAAgACAAIAAgACAAIAAgACAAIAAgACAAKQAsAFwAbgAgACAAIAAgACAAIAAgACAAIAAgACAAIABIAFMAVABBAEMASwAoAFMARQBRAFUARQBOAEMARQAoADEALAAzACoAKABuAC0AMgApACwAMAAsADAAKQAsADMALAAyACwAMQApAFwAbgAgACAAIAAgACAAIAAgACAAKQBcAG4AIAAgACAAIAApACwAXABuACAAIAAgACAAYgBtAGEAdAByAGkAeAAsAFYAUwBUAEEAQwBLACgAXABuACAAIAAgACAAIAAgACAAIABSAEUARABVAEMARQAoAHsAMAA7ADAAOwAwAH0ALABTAEUAUQBVAEUATgBDAEUAKABuAC0AMgApACwATABBAE0AQgBEAEEAKABhAGMAYwAsAGkALABJAEYAKABpAD0AMQAsAFwAbgAgACAAIAAgACAAIAAgACAAIAAgACAAIABWAFMAVABBAEMASwAoAEkATgBEAEUAWAAoAHkAcwAsADIALAAxACkALQBJAE4ARABFAFgAKAB5AHMALAAxACwAMQApACwAMAAsADAAKQAsAFwAbgAgACAAIAAgACAAIAAgACAAIAAgACAAIABWAFMAVABBAEMASwAoAGEAYwBjACwASQBOAEQARQBYACgAeQBzACwAaQArADEALAAxACkALQBJAE4ARABFAFgAKAB5AHMALABpACwAMQApACwAMAAsADAAKQBcAG4AIAAgACAAIAAgACAAIAAgACkAKQApACwAXABuACAAIAAgACAAIAAgACAAIABJAE4ARABFAFgAKAB5AHMALABuACwAMQApAC0ASQBOAEQARQBYACgAeQBzACwAbgAtADEALAAxACkALABcAG4AIAAgACAAIAAgACAAIAAgAFMAVwBJAFQAQwBIACgAYwBvAG4AZABfAHMAdABhAHIAdAAsAFwAIgBmAHIAZQBlAFwAIgAsADAALABcACIAbgBvAHQAXAAiACwAMAAsAGMAbwBuAGQAXwBzAHQAYQByAHQAKgBJAE4ARABFAFgAKABoACwAMQAsADEAKQApACwAXABuACAAIAAgACAAIAAgACAAIABTAFcASQBUAEMASAAoAGMAbwBuAGQAXwBlAG4AZAAsAFwAIgBmAHIAZQBlAFwAIgAsADAALABcACIAbgBvAHQAXAAiACwAMAAsAGMAbwBuAGQAXwBlAG4AZAAqAEkATgBEAEUAWAAoAGgALABuAC0AMQAsADEAKQApAFwAbgAgACAAIAAgACkALABcAG4AIAAgACAAIABjAG8AZQBmAGYAcwAsAEgAUwBUAEEAQwBLACgAVwBSAEEAUABSAE8AVwBTACgATQBNAFUATABUACgATQBJAE4AVgBFAFIAUwBFACgAYQBtAGEAdAByAGkAeAApACwAYgBtAGEAdAByAGkAeAApACwAMwApAC8AKABoAF4AewAzACwAMgAsADEAfQApACwARABSAE8AUAAoAHkAcwAsAC0AMQAsADAAKQApACwAXABuACAAIAAgACAAcABwACwATQBBAFAAKABIAFMAVABBAEMASwAoAHgAcwAsAGMAbwBlAGYAZgBzACkALABMAEEATQBCAEQAQQAoAGMAZQBsAGwALABJAEYARQBSAFIATwBSACgAYwBlAGwAbAAsAFwAIgBcACIAKQApACkALABcAG4AIAAgACAAIAByAGUAcwAsAEkARgAoAGQAZQBiAHUAZwA9AFQAUgBVAEUALABIAFMAVABBAEMASwAoAGEAbQBhAHQAcgBpAHgALABiAG0AYQB0AHIAaQB4ACkALABcAG4AIAAgACAAIAAgACAAIAAgAEkARgAoAEkAUwBPAE0ASQBUAFQARQBEACgAeAApACwAcABwACwAXABuACAAIAAgACAAIAAgACAAIAAgACAAIAAgAFAAUABWAEEATAAoAHAAcAAsAHgAKQBcAG4AIAAgACAAIAAgACAAIAAgACkAXABuACAAIAAgACAAKQAsAFwAbgAgACAAIAAgAEkARgAoAEEATgBEACgAbgA9ADMALABjAG8AbgBkAF8AcwB0AGEAcgB0AD0AXAAiAG4AbwB0AFwAIgAsAGMAbwBuAGQAXwBlAG4AZAA9AFwAIgBuAG8AdABcACIAKQAsAFwAIgBFAHIAcgBvAHIAOgAgAHIAZQBkAHUAbgBkAGEAbgB0ACAAawBuAG8AdAAgAGMAbwBuAHMAdAByAGEAaQBuAHQAXAAiACwAcgBlAHMAKQBcAG4AKQApACkAOwBcAG4AXABuAC8AKgAqACoAKgAqACoAKgAqACoAKgAqACoAKgAqACoAKgAqACoAKgAqACAAXABuACoAIABQAE8ATABZAE4ATwBNAEkAQQBMACAARgBPAFIATQBVAEwAQQBTAFwAbgAqACoAKgAqACoAKgAqACoAKgAqACoAKgAqACoAKgAqACoAKgAqACoAKgAvAFwAbgBcAG4ALwAqACoAXABuACoAIABSAGUAdAB1AHIAbgBzACAAdABoAGUAIABjAG8AZQBmAGYAaQBjAGkAZQBuAHQAcwAgAGYAbwByACAAdABoAGUAIABuAHQAaAAtAGQAZQBnAHIAZQBlACAAcABvAGwAeQBuAG8AbQBpAGEAbAAgAGYAaQB0ACAAdQBzAGkAbgBnACAATABJAE4ARQBTAFQAXABuACoALwBcAG4AUABPAEwAWQBGAEkAVAAgAD0AIABMAEEATQBCAEQAQQAoAGsAbgBvAHcAbgBfAHgAcwAsAGsAbgBvAHcAbgBfAHkAcwAsAG4ALABcAG4ATABFAFQAKABkAG8AYwAsAFwAIgBoAHQAdABwAHMAOgAvAC8AdwB3AHcALgB2AGUAcgB0AGUAeAA0ADIALgBjAG8AbQAvAGwAYQBtAGIAZABhAC8AcABvAGwAeQBmAGkAdAAuAGgAdABtAGwAXAAiACwAXABuACAAIAAgACAATABJAE4ARQBTAFQAKABrAG4AbwB3AG4AXwB5AHMALABrAG4AbwB3AG4AXwB4AHMAXgBTAEUAUQBVAEUATgBDAEUAKAAxACwAbgApACkAXABuACkAKQA7AFwAbgAvACoAKgBcAG4AKgAgAEUAdgBhAGwAdQBhAHQAZQBzACAAYQAgAHAAbwBsAHkAbgBvAG0AaQBhAGwAIABkAGUAZgBpAG4AZQBkACAAYgB5ACAAYQAgAHIAbwB3ACAAdgBlAGMAdABvAHIAIABvAGYAIABjAG8AbgBzAHQAYQBuAHQAIABjAG8AZQBmAGYAaQBjAGkAZQBuAHQAcwAgAGYAbwByACAAZQBhAGMAaAAgAHYAYQBsAHUAZQAgAG8AZgAgAHgALgBcAG4AKgAvAFwAbgBQAE8ATABZAFYAQQBMACAAPQAgAEwAQQBNAEIARABBACgAYwBvAGUAZgBmAHMALAB4ACwAXABuAEwARQBUACgAZABvAGMALABcACIAaAB0AHQAcABzADoALwAvAHcAdwB3AC4AdgBlAHIAdABlAHgANAAyAC4AYwBvAG0ALwBsAGEAbQBiAGQAYQAvAHAAbwBsAHkAdgBhAGwALgBoAHQAbQBsAFwAIgAsAFwAbgAgACAAIAAgAGMAbwBlAGYAZgBzACwASQBGACgAUgBPAFcAUwAoAGMAbwBlAGYAZgBzACkAPgAxACwAVABSAEEATgBTAFAATwBTAEUAKABjAG8AZQBmAGYAcwApACwAYwBvAGUAZgBmAHMAKQAsAFwAbgAgACAAIAAgAG4ALABDAE8ATABVAE0ATgBTACgAYwBvAGUAZgBmAHMAKQAtADEALABcAG4AIAAgACAAIABJAEYAKABPAFIAKABJAFMAVABFAFgAVAAoAHgAKQApACwAXABuACAAIAAgACAAIAAgACAAIABMAEUAVAAoAFwAbgAgACAAIAAgACAAIAAgACAAIAAgACAAIABtAGEAdAByAGkAeAAsAE0AQQBLAEUAQQBSAFIAQQBZACgAUgBPAFcAUwAoAHgAKQAsAG4AKwAxACwATABBAE0AQgBEAEEAKABpACwAagAsAFwAbgAgACAAIAAgACAAIAAgACAAIAAgACAAIAAgACAAIAAgAFMAVwBJAFQAQwBIACgAbgAtACgAagAtADEAKQAsAFwAbgAgACAAIAAgACAAIAAgACAAIAAgACAAIAAgACAAIAAgADAALABJAE4ARABFAFgAKABjAG8AZQBmAGYAcwAsADEALABqACkALABcAG4AIAAgACAAIAAgACAAIAAgACAAIAAgACAAIAAgACAAIAAxACwASQBNAFAAUgBPAEQAVQBDAFQAKABJAE4ARABFAFgAKABjAG8AZQBmAGYAcwAsADEALABqACkALABJAE4ARABFAFgAKAB4ACwAaQApACkALABcAG4AIAAgACAAIAAgACAAIAAgACAAIAAgACAAIAAgACAAIAAyACwASQBNAFAAUgBPAEQAVQBDAFQAKABJAE4ARABFAFgAKABjAG8AZQBmAGYAcwAsADEALABqACkALABJAE4ARABFAFgAKAB4ACwAaQApACwASQBOAEQARQBYACgAeAAsAGkAKQApACwAXABuACAAIAAgACAAIAAgACAAIAAgACAAIAAgACAAIAAgACAASQBNAFAAUgBPAEQAVQBDAFQAKABJAE4ARABFAFgAKABjAG8AZQBmAGYAcwAsADEALABqACkALABJAE0AUABPAFcARQBSACgASQBOAEQARQBYACgAeAAsAGkAKQAsAG4ALQAoAGoALQAxACkAKQApAFwAbgAgACAAIAAgACAAIAAgACAAIAAgACAAIAAgACAAIAAgACkAXABuACAAIAAgACAAIAAgACAAIAAgACAAIAAgACkAKQAsAFwAbgAgACAAIAAgACAAIAAgACAAIAAgACAAIABCAFkAUgBPAFcAKABtAGEAdAByAGkAeAAsAEwAQQBNAEIARABBACgAcgBvAHcALABMAEUAVAAoAHMAdQBtACwASQBNAFMAVQBNACgAcgBvAHcAKQAsAEkARgAoAEkATQBBAEcASQBOAEEAUgBZACgAcwB1AG0AKQA9ADAALABJAE0AUgBFAEEATAAoAHMAdQBtACkALABzAHUAbQApACkAKQApAFwAbgAgACAAIAAgACAAIAAgACAAKQAsAFwAbgAgACAAIAAgACAAIAAgACAATABFAFQAKABcAG4AIAAgACAAIAAgACAAIAAgACAAIAAgACAAWABfAG0AYQB0ACwASQBGACgAbgA9ADAALABTAEUAUQBVAEUATgBDAEUAKABSAE8AVwBTACgAeAApACwAMQAsADEALAAwACkALABcAG4AIAAgACAAIAAgACAAIAAgACAAIAAgACAAIAAgACAAIABIAFMAVABBAEMASwAoAHgAXgBTAEUAUQBVAEUATgBDAEUAKAAxACwAbgAsAG4ALAAtADEAKQAsAFMARQBRAFUARQBOAEMARQAoAFIATwBXAFMAKAB4ACkALAAxACwAMQAsADAAKQApAFwAbgAgACAAIAAgACAAIAAgACAAIAAgACAAIAApACwAXABuACAAIAAgACAAIAAgACAAIAAgACAAIAAgAEIAWQBSAE8AVwAoAGMAbwBlAGYAZgBzACoAWABfAG0AYQB0ACwATABBAE0AQgBEAEEAKAByAG8AdwAsAFMAVQBNACgAcgBvAHcAKQApACkAXABuACAAIAAgACAAIAAgACAAIAApAFwAbgAgACAAIAAgACkAXABuACkAKQA7AFwAbgAvACoAKgBcAG4AKgAgAFIAZQB0AHUAcgBuAHMAIAB0AGgAZQAgAGQAZQByAGkAdgBhAHQAaQB2AGUAIABvAGYAIAB0AGgAZQAgAHAAbwBsAHkAbgBvAG0AaQBhAGwAIABkAGUAZgBpAG4AZQBkACAAYgB5ACAAYwBvAGUAZgBmAGkAYwBpAGUAbgB0AHMAIABpAG4AIABkAGUAcwBjAGUAbgBkAGkAbgBnACAAbwByAGQAZQByACAAbwBmACAAcABvAHcAZQByAC4AXABuACoALwBcAG4AUABPAEwAWQBEAEUAUgAgAD0AIABMAEEATQBCAEQAQQAoAGMAbwBlAGYAZgBzACwAXABuAEwARQBUACgAZABvAGMALABcACIAaAB0AHQAcABzADoALwAvAHcAdwB3AC4AdgBlAHIAdABlAHgANAAyAC4AYwBvAG0ALwBsAGEAbQBiAGQAYQAvAHAAbwBsAHkAZABlAHIALgBoAHQAbQBsAFwAIgAsAFwAbgAgACAAIAAgAG4ALABDAE8ATABVAE0ATgBTACgAYwBvAGUAZgBmAHMAKQAtADEALABcAG4AIAAgACAAIABwAG8AdwBlAHIAcwAsAFMARQBRAFUARQBOAEMARQAoADEALABuACsAMQAsAG4ALAAtADEAKQAsAFwAbgAgACAAIAAgAEMASABPAE8AUwBFAEMATwBMAFMAKABjAG8AZQBmAGYAcwAqAHAAbwB3AGUAcgBzACwASQBGACgAbgA9ADAALAAxACwAUwBFAFEAVQBFAE4AQwBFACgAbgApACkAKQBcAG4AKQApADsAXABuAC8AKgAqAFwAbgAqACAAUgBlAHQAdQByAG4AcwAgAHQAaABlACAAaQBuAHQAZQBnAHIAYQBsACAAbwBmACAAdABoAGUAIABwAG8AbAB5AG4AbwBtAGkAYQBsACAAdwBpAHQAaAAgAGkAbgB0AGUAZwByAGEAdABpAG8AbgAgAGMAbwBuAHMAdABhAG4AdAAgAGsALAAgAG8AcAB0AGkAbwBuAGEAbABsAHkAIABlAHYAYQBsAHUAYQB0AGUAZAAgAGYAcgBvAG0AIABhACAAdABvACAAYgBcAG4AKgAvAFwAbgBQAE8ATABZAEkATgBUACAAPQAgAEwAQQBNAEIARABBACgAYwBvAGUAZgBmAHMALABbAGsAXQAsAFsAYQBdACwAWwBiAF0ALABcAG4ATABFAFQAKABkAG8AYwAsAFwAIgBoAHQAdABwAHMAOgAvAC8AdwB3AHcALgB2AGUAcgB0AGUAeAA0ADIALgBjAG8AbQAvAGwAYQBtAGIAZABhAC8AcABvAGwAeQBpAG4AdAAuAGgAdABtAGwAXAAiACwAXABuACAAIAAgACAAawAsAEkARgAoAEkAUwBCAEwAQQBOAEsAKABrACkALABTAEUAUQBVAEUATgBDAEUAKABSAE8AVwBTACgAYwBvAGUAZgBmAHMAKQAsADEALAAwACwAMAApACwASQBGACgAUgBPAFcAUwAoAGsAKQA9ADEALABTAEUAUQBVAEUATgBDAEUAKABSAE8AVwBTACgAYwBvAGUAZgBmAHMAKQAsADEALABrACwAMAApACwAawApACkALABcAG4AIAAgACAAIABuACwAQwBPAEwAVQBNAE4AUwAoAGMAbwBlAGYAZgBzACkALABcAG4AIAAgACAAIABwAG8AdwBlAHIAcwAsAFMARQBRAFUARQBOAEMARQAoADEALABuACwAbgAsAC0AMQApACwAXABuACAAIAAgACAAcQB4ACwASABTAFQAQQBDAEsAKABjAG8AZQBmAGYAcwAvAHAAbwB3AGUAcgBzACwAawApACwAXABuACAAIAAgACAASQBGACgAQQBOAEQAKABOAE8AVAAoAEkAUwBCAEwAQQBOAEsAKABhACkAKQAsAE4ATwBUACgASQBTAEIATABBAE4ASwAoAGIAKQApACkALABcAG4AIAAgACAAIAAgACAAIAAgAEIAWQBSAE8AVwAoAHEAeAAsAEwAQQBNAEIARABBACgAcgBvAHcALABQAE8ATABZAFYAQQBMACgAcgBvAHcALABiACkALQBQAE8ATABZAFYAQQBMACgAcgBvAHcALABhACkAKQApACwAXABuACAAIAAgACAAIAAgACAAIABxAHgAXABuACAAIAAgACAAKQBcAG4AKQApADsAXABuAC8AKgAqAFwAbgAqACAAQQBkAGQAIAB0AHcAbwAgAHAAbwBsAHkAbgBvAG0AaQBhAGwAcwAgAGEAIAArACAAYgAgAD0AIABjAFwAbgAqAC8AXABuAFAATwBMAFkAQQBEAEQAIAA9ACAATABBAE0AQgBEAEEAKABhACwAYgAsAFsAZAByAG8AcABfAGwAZQBhAGQAaQBuAGcAXwB6AGUAcgBvAHMAXQAsAFwAbgBMAEUAVAAoAGQAbwBjACwAXAAiAGgAdAB0AHAAcwA6AC8ALwB3AHcAdwAuAHYAZQByAHQAZQB4ADQAMgAuAGMAbwBtAC8AbABhAG0AYgBkAGEALwBwAG8AbAB5AGEAZABkAC4AaAB0AG0AbABcACIALABcAG4AIAAgACAAIABuAGEALABDAE8ATABVAE0ATgBTACgAYQApACwAXABuACAAIAAgACAAbgBiACwAQwBPAEwAVQBNAE4AUwAoAGIAKQAsAFwAbgAgACAAIAAgAGMALABJAEYAKABuAGEAPQBuAGIALABhACsAYgAsAFwAbgAgACAAIAAgAEkARgAoAG4AYQA+AG4AYgAsAGEAKwBIAFMAVABBAEMASwAoAFMARQBRAFUARQBOAEMARQAoADEALABuAGEALQBuAGIALAAwACwAMAApACwAYgApACwAXABuACAAIAAgACAAIAAgACAAIABiACsASABTAFQAQQBDAEsAKABTAEUAUQBVAEUATgBDAEUAKAAxACwAbgBiAC0AbgBhACwAMAAsADAAKQAsAGEAKQBcAG4AIAAgACAAIAApACkALABcAG4AIAAgACAAIABJAEYAKABkAHIAbwBwAF8AbABlAGEAZABpAG4AZwBfAHoAZQByAG8AcwA9AFQAUgBVAEUALABEAFIATwBQACgAYwAsADAALABNAEEAVABDAEgAKABUAFIAVQBFACwAYwA8AD4AMAAsADAAKQAtADEAKQAsAGMAKQBcAG4AKQApADsAXABuAC8AKgAqAFwAbgAqACAAUwB1AGIAdAByAGEAYwB0ACAAcABvAGwAeQBuAG8AbQBpAGEAbAAgAGIAIABmAHIAbwBtACAAcABvAGwAeQBuAG8AbQBpAGEAbAAgAGEAOgAgAGEAIAAtACAAYgAgAD0AIABjAFwAbgAqAC8AXABuAFAATwBMAFkAUwBVAEIAIAA9ACAATABBAE0AQgBEAEEAKABhACwAYgAsAFsAZAByAG8AcABfAGwAZQBhAGQAaQBuAGcAXwB6AGUAcgBvAHMAXQAsAFwAbgBMAEUAVAAoAGQAbwBjACwAXAAiAGgAdAB0AHAAcwA6AC8ALwB3AHcAdwAuAHYAZQByAHQAZQB4ADQAMgAuAGMAbwBtAC8AbABhAG0AYgBkAGEALwBwAG8AbAB5AGEAZABkAC4AaAB0AG0AbABcACIALABcAG4AIAAgACAAIABQAE8ATABZAEEARABEACgAYQAsAC0AYgAsAGQAcgBvAHAAXwBsAGUAYQBkAGkAbgBnAF8AegBlAHIAbwBzACkAXABuACkAKQA7AFwAbgAvACoAKgBcAG4AKgAgAE0AdQBsAHQAaQBwAGwAeQAgAHQAdwBvACAAcABvAGwAeQBuAG8AbQBpAGEAbABzACAAYQAgAGEAbgBkACAAYgAsACAAcgBlAHAAcgBlAHMAZQBuAHQAZQBkACAAYQBzACAAcgBvAHcAIAB2AGUAYwB0AG8AcgBzACAAbwBmACAAYwBvAGUAZgBmAGkAYwBpAGUAbgB0AHMAXABuACoAIABVAHMAZQBzACAAdABoAGUAIABjAG8AbgB2AG8AbAB1AHQAaQBvAG4AIABhAGwAZwBvAHIAaQB0AGgAbQAgAGYAbwByACAAdAB3AG8AIAB2AGUAYwB0AG8AcgBzAFwAbgAqAC8AXABuAFAATwBMAFkATQBVAEwAVAAgAD0AIABMAEEATQBCAEQAQQAoAGEALABiACwAXABuAEwARQBUACgAZABvAGMALABcACIAaAB0AHQAcABzADoALwAvAHcAdwB3AC4AdgBlAHIAdABlAHgANAAyAC4AYwBvAG0ALwBsAGEAbQBiAGQAYQAvAHAAbwBsAHkAbQB1AGwAdAAuAGgAdABtAGwAXAAiACwAXABuACAAIAAgACAAYQAsAEkARgAoAEEATgBEACgAUgBPAFcAUwAoAGEAKQA+ADEALABDAE8ATABVAE0ATgBTACgAYQApAD0AMQApACwAVABSAEEATgBTAFAATwBTAEUAKABhACkALABhACkALABcAG4AIAAgACAAIABiACwASQBGACgAQQBOAEQAKABSAE8AVwBTACgAYgApAD4AMQAsAEMATwBMAFUATQBOAFMAKABiACkAPQAxACkALABUAFIAQQBOAFMAUABPAFMARQAoAGIAKQAsAGIAKQAsAFwAbgAgACAAIAAgAGwAZQBuAF8AYQAsAEMATwBMAFUATQBOAFMAKABhACkALABsAGUAbgBfAGIALABDAE8ATABVAE0ATgBTACgAYgApACwAbABlAG4AXwBjACwAbABlAG4AXwBhACsAbABlAG4AXwBiAC0AMQAsAFwAbgAgACAAIAAgAGMAbwBlAGYAZgBzACwATQBBAEsARQBBAFIAUgBBAFkAKAAxACwAbABlAG4AXwBjACwATABBAE0AQgBEAEEAKABpACwAawAsAFwAbgAgACAAIAAgACAAIAAgACAAUgBFAEQAVQBDAEUAKAAwACwAUwBFAFEAVQBFAE4AQwBFACgATQBJAE4AKABrACwAbABlAG4AXwBhACkALQBNAEEAWAAoADEALABrACsAMQAtAGwAZQBuAF8AYgApACsAMQAsADEALABNAEEAWAAoADEALABrACsAMQAtAGwAZQBuAF8AYgApACkALABcAG4AIAAgACAAIAAgACAAIAAgACAAIAAgACAATABBAE0AQgBEAEEAKABhAGMAYwAsAGoALABcAG4AIAAgACAAIAAgACAAIAAgACAAIAAgACAAIAAgACAAIABJAEYAKABPAFIAKABJAFMAVABFAFgAVAAoAGEAYwBjACkALABJAFMAVABFAFgAVAAoAEkATgBEAEUAWAAoAGEALABqACkAKQAsAEkAUwBUAEUAWABUACgASQBOAEQARQBYACgAYgAsAGsALQBqACsAMQApACkAKQAsAFwAbgAgACAAIAAgACAAIAAgACAAIAAgACAAIAAgACAAIAAgACAAIAAgACAASQBNAFMAVQBNACgAYQBjAGMALABJAE0AUABSAE8ARABVAEMAVAAoAEkATgBEAEUAWAAoAGEALABqACkALABJAE4ARABFAFgAKABiACwAawAtAGoAKwAxACkAKQApACwAXABuACAAIAAgACAAIAAgACAAIAAgACAAIAAgACAAIAAgACAAIAAgACAAIABhAGMAYwAgACsAIABJAE4ARABFAFgAKABhACwAagApACoASQBOAEQARQBYACgAYgAsAGsALQBqACsAMQApAFwAbgAgACAAIAAgACAAIAAgACAAIAAgACAAIAAgACAAIAAgACkAXABuACAAIAAgACAAIAAgACAAIAAgACAAIAAgACkAXABuACAAIAAgACAAIAAgACAAIAApAFwAbgAgACAAIAAgACkAKQAsAFwAbgAgACAAIAAgAE0AQQBQACgAYwBvAGUAZgBmAHMALABMAEEATQBCAEQAQQAoAHYAYQBsACwASQBGACgASQBNAEEARwBJAE4AQQBSAFkAKAB2AGEAbAApAD0AMAAsAEkATQBSAEUAQQBMACgAdgBhAGwAKQAsAHYAYQBsACkAKQApAFwAbgApACkAOwBcAG4ALwAqACoAXABuACoAIABEAGkAdgBpAGQAZQAgAHQAdwBvACAAcABvAGwAeQBuAG8AbQBpAGEAbABzACAAdQBzAGkAbgBnACAAbABvAG4AZwAgAGQAaQB2AGkAcwBpAG8AbgA6ACAAYQAvAGIAIAA9ACAAcQAgAHIAZQBtAGEAaQBuAGQAZQByACAAcgBcAG4AKgAgAFIAZQB0AHUAcgBuAHMAIABwAG8AbAB5AG4AbwBtAGkAYQBsACAAcQAgAHMAdABhAGMAawBlAGQAIAB2AGUAcgB0AGkAYwBhAGwAbAB5ACAAbwBuACAAdABvAHAAIABvAGYAIABwAG8AbAB5AG4AbwBtAGkAYQBsACAAcgBcAG4AKgAvAFwAbgBQAE8ATABZAEQASQBWACAAPQAgAEwAQQBNAEIARABBACgAYQAsAGIALABcAG4ATABFAFQAKABkAG8AYwAsAFwAIgBoAHQAdABwAHMAOgAvAC8AdwB3AHcALgB2AGUAcgB0AGUAeAA0ADIALgBjAG8AbQAvAGwAYQBtAGIAZABhAC8AcABvAGwAeQBkAGkAdgAuAGgAdABtAGwAXAAiACwAXABuACAAIAAgACAAbgBhACwAQwBPAEwAVQBNAE4AUwAoAGEAKQAsAFwAbgAgACAAIAAgAG4AYgAsAEMATwBMAFUATQBOAFMAKABiACkALABcAG4AIAAgACAAIAByAGUAcwB1AGwAdAAsAEkARgAoAG4AYQA8AG4AYgAsAFYAUwBUAEEAQwBLACgAMAAqAGIALABiACkALABcAG4AIAAgACAAIABSAEUARABVAEMARQAoAFYAUwBUAEEAQwBLACgAMAAqAGEALABhACkALABTAEUAUQBVAEUATgBDAEUAKABuAGEALQBuAGIAKwAxACwAMQAsAG4AYQAtAG4AYgAsAC0AMQApACwATABBAE0AQgBEAEEAKABhAGMAYwAsAGkALABMAEUAVAAoAFwAbgAgACAAIAAgACAAIAAgACAAZABpAHYAaQBkAGUAbgBkACwAQwBIAE8ATwBTAEUAUgBPAFcAUwAoAGEAYwBjACwAMgApACwAXABuACAAIAAgACAAIAAgACAAIAB0ACwASQBOAEQARQBYACgAZABpAHYAaQBkAGUAbgBkACwAMQAsAG4AYQAtAG4AYgAtAGkAKwAxACkALwBJAE4ARABFAFgAKABiACwAMQAsADEAKQAsAFwAbgAgACAAIAAgACAAIAAgACAAdAB2ACwASQBGACgAaQA+ADAALABIAFMAVABBAEMASwAoAHQALABTAEUAUQBVAEUATgBDAEUAKAAxACwAaQAsADAALAAwACkAKQAsAHQAKQAsAFwAbgAgACAAIAAgACAAIAAgACAAcQAsAEkARgAoAGkAPgAwACwASABTAFQAQQBDAEsAKAB0ACoAYgAsAFMARQBRAFUARQBOAEMARQAoADEALABpACwAMAAsADAAKQApACwAdAAqAGIAKQAsAFwAbgAgACAAIAAgACAAIAAgACAAcgAsAFAATwBMAFkAQQBEAEQAKABkAGkAdgBpAGQAZQBuAGQALAAtAHEAKQAsAFwAbgAgACAAIAAgACAAIAAgACAAVgBTAFQAQQBDAEsAKABQAE8ATABZAEEARABEACgASQBOAEQARQBYACgAYQBjAGMALAAxACwAMAApACwAdAB2ACkALAByACkAXABuACAAIAAgACAAKQApACkAKQAsAFwAbgAgACAAIAAgAEkARgAoAG4AYQA+AD0AbgBiACwARABSAE8AUAAoAHIAZQBzAHUAbAB0ACwAMAAsAG4AYgAtADEAKQAsAHIAZQBzAHUAbAB0ACkAXABuACkAKQA7AFwAbgAvACoAKgBcAG4AKgAgAFIAZQB0AHUAcgBuAHMAIAB0AGgAZQAgAGMAbwBtAHAAYQBuAGkAbwBuACAAbQBhAHQAcgBpAHgAIABmAG8AcgAgAHQAaABlACAAcABvAGwAeQBuAG8AbQBpAGEAbAAgAGQAZQBmAGkAbgBlAGQAIABiAHkAIABjAG8AZQBmAGYAcwBcAG4AKgAvAFwAbgBQAE8ATABZAEMATwBNAFAAQQBOACAAPQAgAEwAQQBNAEIARABBACgAYwBvAGUAZgBmAHMALABcAG4ATABFAFQAKABkAG8AYwAsAFwAIgBoAHQAdABwAHMAOgAvAC8AdwB3AHcALgB2AGUAcgB0AGUAeAA0ADIALgBjAG8AbQAvAGwAYQBtAGIAZABhAC8AcABvAGwAeQBjAG8AbQBwAGEAbgAuAGgAdABtAGwAXAAiACwAXABuACAAIAAgACAAYwBvAGUAZgBmAHMALABJAEYAKABBAE4ARAAoAFIATwBXAFMAKABjAG8AZQBmAGYAcwApAD4AMQAsAEMATwBMAFUATQBOAFMAKABjAG8AZQBmAGYAcwApAD0AMQApACwAVABSAEEATgBTAFAATwBTAEUAKABjAG8AZQBmAGYAcwApACwAYwBvAGUAZgBmAHMAKQAsAFwAbgAgACAAIAAgAG4ALABDAE8ATABVAE0ATgBTACgAYwBvAGUAZgBmAHMAKQAtADEALABcAG4AIAAgACAAIABtACwALQBDAEgATwBPAFMARQBDAE8ATABTACgAYwBvAGUAZgBmAHMALABTAEUAUQBVAEUATgBDAEUAKAAxACwAbgAsADIALAAxACkAKQAvAEkATgBEAEUAWAAoAGMAbwBlAGYAZgBzACwAMQApACwAXABuACAAIAAgACAAVgBTAFQAQQBDAEsAKABtACwASABTAFQAQQBDAEsAKABNAFUATgBJAFQAKABuAC0AMQApACwAUwBFAFEAVQBFAE4AQwBFACgAbgAtADEALAAxACwAMAAsADAAKQApACkAXABuACkAKQA7AFwAbgAvACoAKgBcAG4AKgAgAEUAdgBhAGwAdQBhAHQAZQAgAGEAIABQAGkAZQBjAGUAdwBpAHMAZQAgAFAAbwBsAHkAbgBvAG0AaQBhAGwAIABhAHQAIABlAGEAYwBoACAAdgBhAGwAdQBlACAAbwBmACAAeABcAG4AKgAvAFwAbgBQAFAAVgBBAEwAIAA9ACAATABBAE0AQgBEAEEAKABwAHAAXwBhAHIAcgBhAHkALAB4AHYAZQBjACwAXABuAEwARQBUACgAZABvAGMALABcACIAaAB0AHQAcABzADoALwAvAHcAdwB3AC4AdgBlAHIAdABlAHgANAAyAC4AYwBvAG0ALwBsAGEAbQBiAGQAYQAvAHAAcAB2AGEAbAAuAGgAdABtAGwAXAAiACwAXABuACAAIAAgACAAYgByAGUAYQBrAHMALABJAE4ARABFAFgAKABwAHAAXwBhAHIAcgBhAHkALAAwACwAMQApACwAXABuACAAIAAgACAAcABpAGUAYwBlAHMALABSAE8AVwBTACgAYgByAGUAYQBrAHMAKQAtADEALABcAG4AIAAgACAAIABjAG8AZQBmAGYAcwAsAEQAUgBPAFAAKABwAHAAXwBhAHIAcgBhAHkALAAtADEALAAxACkALABcAG4AIAAgACAAIABNAEEAUAAoAHgAdgBlAGMALABMAEEATQBCAEQAQQAoAHgALABJAEYAKABPAFIAKAB4ADwATQBJAE4AKABiAHIAZQBhAGsAcwApACwAeAA+AE0AQQBYACgAYgByAGUAYQBrAHMAKQApACwATgBBACgAKQAsAFwAbgAgACAAIAAgACAAIAAgACAATABFAFQAKABcAG4AIAAgACAAIAAgACAAIAAgACAAIAAgACAAcgBvAHcALABJAEYAKAB4AD0ASQBOAEQARQBYACgAYgByAGUAYQBrAHMALABwAGkAZQBjAGUAcwArADEALAAxACkALABwAGkAZQBjAGUAcwAsAE0AQQBUAEMASAAoAHgALABiAHIAZQBhAGsAcwAsADEAKQApACwAXABuACAAIAAgACAAIAAgACAAIAAgACAAIAAgAFAATwBMAFkAVgBBAEwAKABJAE4ARABFAFgAKABjAG8AZQBmAGYAcwAsAHIAbwB3ACwAMAApACwAeAAtAEkATgBEAEUAWAAoAGIAcgBlAGEAawBzACwAcgBvAHcAKQApAFwAbgAgACAAIAAgACAAIAAgACAAKQBcAG4AIAAgACAAIAApACkAKQBcAG4AKQApADsAXABuAC8AKgAqAFwAbgAqACAARABlAGYAaQBuAGkAdABlACAASQBuAHQAZQBnAHIAYQBsACAAbwBmACAAYQAgAFAAaQBlAGMAZQB3AGkAcwBlACAAUABvAGwAeQBuAG8AbQBpAGEAbAAgAGYAcgBvAG0AIABhACAAdABvACAAYgBcAG4AKgAvAFwAbgBQAFAASQBOAFQAIAA9ACAATABBAE0AQgBEAEEAKABwAHAAXwBhAHIAcgBhAHkALABbAGEAXQAsAFsAYgBdACwAWwBjAHUAbQB1AGwAYQB0AGkAdgBlAF0ALABcAG4ATABFAFQAKABkAG8AYwAsAFwAIgBoAHQAdABwAHMAOgAvAC8AdwB3AHcALgB2AGUAcgB0AGUAeAA0ADIALgBjAG8AbQAvAGwAYQBtAGIAZABhAC8AcABwAGkAbgB0AC4AaAB0AG0AbABcACIALABcAG4AIAAgACAAIABiAHIAZQBhAGsAcwAsAEkATgBEAEUAWAAoAHAAcABfAGEAcgByAGEAeQAsADAALAAxACkALABcAG4AIAAgACAAIABwAGkAZQBjAGUAcwAsAFIATwBXAFMAKABiAHIAZQBhAGsAcwApAC0AMQAsAFwAbgAgACAAIAAgAGMAbwBlAGYAZgBzACwARABSAE8AUAAoAHAAcABfAGEAcgByAGEAeQAsAC0AMQAsADEAKQAsAFwAbgAgACAAIAAgAGEALABJAEYAKABPAFIAKABJAFMAQgBMAEEATgBLACgAYQApACwAYQA8AEkATgBEAEUAWAAoAGIAcgBlAGEAawBzACwAMQApACkALABJAE4ARABFAFgAKABiAHIAZQBhAGsAcwAsADEAKQAsAGEAKQAsAFwAbgAgACAAIAAgAGIALABJAEYAKABPAFIAKABJAFMAQgBMAEEATgBLACgAYgApACwAYgA+AEkATgBEAEUAWAAoAGIAcgBlAGEAawBzACwAcABpAGUAYwBlAHMAKwAxACkAKQAsAEkATgBEAEUAWAAoAGIAcgBlAGEAawBzACwAcABpAGUAYwBlAHMAKwAxACkALABiACkALABcAG4AIAAgACAAIABhAHIAZQBhAHMALABTAEMAQQBOACgAMAAsAFMARQBRAFUARQBOAEMARQAoAHAAaQBlAGMAZQBzACsAMQApACwATABBAE0AQgBEAEEAKABhAGMAYwAsAGkALABcAG4AIAAgACAAIABJAEYAKABpAD0AMQAsADAALABMAEUAVAAoAFwAbgAgACAAIAAgACAAIAAgACAAeABfADEALABJAE4ARABFAFgAKABiAHIAZQBhAGsAcwAsAGkALQAxACkALABcAG4AIAAgACAAIAAgACAAIAAgAHgAXwAyACwASQBOAEQARQBYACgAYgByAGUAYQBrAHMALABpACkALABcAG4AIAAgACAAIAAgACAAIAAgAEkARgAoAE4ATwBUACgAQQBOAEQAKABhADwASQBOAEQARQBYACgAYgByAGUAYQBrAHMALABpACkALABiAD4ASQBOAEQARQBYACgAYgByAGUAYQBrAHMALABpAC0AMQApACkAKQAsAGEAYwBjACsAMAAsAFwAbgAgACAAIAAgACAAIAAgACAAIAAgACAAIABhAGMAYwArAFAATwBMAFkASQBOAFQAKABDAEgATwBPAFMARQBSAE8AVwBTACgAYwBvAGUAZgBmAHMALABpAC0AMQApACwALABNAEEAWAAoADAALABhAC0AeABfADEAKQAsAE0ASQBOACgAYgAsAHgAXwAyACkALQB4AF8AMQApAFwAbgAgACAAIAAgACAAIAAgACAAKQBcAG4AIAAgACAAIAApACkAKQApACwAXABuACAAIAAgACAASQBGACgAYwB1AG0AdQBsAGEAdABpAHYAZQA9AFQAUgBVAEUALABhAHIAZQBhAHMALABJAE4ARABFAFgAKABhAHIAZQBhAHMALABwAGkAZQBjAGUAcwArADEALAAxACkAKQBcAG4AKQApADsAXABuAC8AKgAqAFwAbgAqACAARABlAHIAaQB2AGEAdABpAHYAZQAgAG8AZgAgAGEAIABQAGkAZQBjAGUAdwBpAHMAZQAgAFAAbwBsAHkAbgBvAG0AaQBhAGwAXABuACoALwBcAG4AUABQAEQARQBSACAAPQAgAEwAQQBNAEIARABBACgAcABwAF8AYQByAHIAYQB5ACwAXABuAEwARQBUACgAZABvAGMALABcACIAaAB0AHQAcABzADoALwAvAHcAdwB3AC4AdgBlAHIAdABlAHgANAAyAC4AYwBvAG0ALwBsAGEAbQBiAGQAYQAvAHAAcABkAGUAcgAuAGgAdABtAGwAXAAiACwAXABuACAAIAAgACAAYgByAGUAYQBrAHMALABJAE4ARABFAFgAKABwAHAAXwBhAHIAcgBhAHkALAAwACwAMQApACwAXABuACAAIAAgACAAcABpAGUAYwBlAHMALABSAE8AVwBTACgAYgByAGUAYQBrAHMAKQAtADEALABcAG4AIAAgACAAIABjAG8AZQBmAGYAcwAsAEQAUgBPAFAAKABwAHAAXwBhAHIAcgBhAHkALAAtADEALAAxACkALABcAG4AIAAgACAAIABuAGUAdwBjAG8AZQBmAGYAcwAsAFIARQBEAFUAQwBFACgAMAAsAFMARQBRAFUARQBOAEMARQAoAHAAaQBlAGMAZQBzACkALABMAEEATQBCAEQAQQAoAGEAYwBjACwAaQAsAEwARQBUACgAXABuACAAIAAgACAAIAAgACAAIABkAGUAcgBpAHYALABQAE8ATABZAEQARQBSACgAQwBIAE8ATwBTAEUAUgBPAFcAUwAoAGMAbwBlAGYAZgBzACwAaQApACkALABcAG4AIAAgACAAIAAgACAAIAAgAEkARgAoAGkAPQAxACwAZABlAHIAaQB2ACwAVgBTAFQAQQBDAEsAKABhAGMAYwAsAGQAZQByAGkAdgApACkAXABuACAAIAAgACAAKQApACkALABcAG4AIAAgACAAIABNAEEAUAAoAEgAUwBUAEEAQwBLACgAYgByAGUAYQBrAHMALABuAGUAdwBjAG8AZQBmAGYAcwApACwATABBAE0AQgBEAEEAKABjAGUAbABsACwASQBGAEUAUgBSAE8AUgAoAGMAZQBsAGwALABcACIAXAAiACkAKQApAFwAbgApACkAOwBcAG4ALwAqACoAXABuACoAIABGAGkAbgBkACAAdABoAGUAIAByAG8AbwB0AHMAIABvAGYAIABhACAAcABvAGwAeQBuAG8AbQBpAGEAbAAgAHUAcwBpAG4AZwAgAHQAaABlACAAVwBlAGkAZQByAHMAdAByAGEAdQBzAHMAIABtAGUAdABoAG8AZABcAG4AKgAvAFwAbgBQAE8ATABZAFIATwBPAFQAUwAgAD0AIABMAEEATQBCAEQAQQAoAGMAbwBlAGYAZgBzACwAWwBlAHAAcwBpAGwAbwBuAF0ALABbAGkAdABlAHIAYQB0AGkAbwBuAHMAXQAsAFsAeABzAHQAYQByAHQAXQAsAFsAcgBlAHQAdQByAG4AXwBhAGIAcwBdACwAXABuAEwARQBUACgAZABvAGMALABcACIAaAB0AHQAcABzADoALwAvAHcAdwB3AC4AdgBlAHIAdABlAHgANAAyAC4AYwBvAG0ALwBsAGEAbQBiAGQAYQAvAHAAbwBsAHkAcgBvAG8AdABzAC4AaAB0AG0AbABcACIALABcAG4AIAAgACAAIABpAHQAZQByAGEAdABpAG8AbgBzACwASQBGACgASQBTAEIATABBAE4ASwAoAGkAdABlAHIAYQB0AGkAbwBuAHMAKQAsADQAMgAsAGkAdABlAHIAYQB0AGkAbwBuAHMAKQAsAFwAbgAgACAAIAAgAHgAcwB0AGEAcgB0ACwASQBGACgASQBTAEIATABBAE4ASwAoAHgAcwB0AGEAcgB0ACkALABcACIAMAAuADQAKwAwAC4AOQBpAFwAIgAsAHgAcwB0AGEAcgB0ACkALABcAG4AIAAgACAAIAByAGUAdAB1AHIAbgBfAGEAYgBzACwASQBGACgASQBTAEIATABBAE4ASwAoAHIAZQB0AHUAcgBuAF8AYQBiAHMAKQAsAEYAQQBMAFMARQAsAHIAZQB0AHUAcgBuAF8AYQBiAHMAKQAsAFwAbgAgACAAIAAgAG4ALABDAE8ATABVAE0ATgBTACgAYwBvAGUAZgBmAHMAKQAtADEALABcAG4AIAAgACAAIAB4AG8ALABUAFIAQQBOAFMAUABPAFMARQAoAEkATQBQAE8AVwBFAFIAKAB4AHMAdABhAHIAdAAsAFMARQBRAFUARQBOAEMARQAoADEALABuACwAMAApACkAKQAsAFwAbgAgACAAIAAgAHIAZQBzAHUAbAB0ACwAUgBFAEQAVQBDAEUAKAB4AG8ALABTAEUAUQBVAEUATgBDAEUAKABpAHQAZQByAGEAdABpAG8AbgBzACkALABMAEEATQBCAEQAQQAoAGEAYwBjACwAawAsAFwAbgAgACAAIAAgAEkARgAoAEEATgBEACgATgBPAFQAKABJAFMAQgBMAEEATgBLACgAZQBwAHMAaQBsAG8AbgApACkALABrAD4AMQAsAEkARgBFAFIAUgBPAFIAKABNAEEAWAAoAEkATgBEAEUAWAAoAGEAYwBjACwAMAAsADMAKQApADwAZQBwAHMAaQBsAG8AbgAsAEYAQQBMAFMARQApACkALABhAGMAYwAsAFwAbgAgACAAIAAgACAAIAAgACAATABFAFQAKABcAG4AIAAgACAAIAAgACAAIAAgACAAIAAgACAAZgBvACwASQBGACgAawA+ADEALABJAE4ARABFAFgAKABhAGMAYwAsADAALAAyACkALABQAE8ATABZAFYAQQBMACgAYwBvAGUAZgBmAHMALABJAE4ARABFAFgAKABhAGMAYwAsADAALAAxACkAKQApACwAXABuACAAIAAgACAAIAAgACAAIAAgACAAIAAgAHgAbwAsAEkATgBEAEUAWAAoAGEAYwBjACwAMAAsADEAKQAsAFwAbgAgACAAIAAgACAAIAAgACAAIAAgACAAIAB4AG4ALABNAEEASwBFAEEAUgBSAEEAWQAoAG4ALAAxACwATABBAE0AQgBEAEEAKABpACwAagAsAFwAbgAgACAAIAAgACAAIAAgACAAIAAgACAAIAAgACAAIAAgAEkATQBTAFUAQgAoAEkATgBEAEUAWAAoAHgAbwAsAGkAKQAsAEkATQBEAEkAVgAoAEkATgBEAEUAWAAoAGYAbwAsAGkAKQAsAEkATQBQAFIATwBEAFUAQwBUACgASQBNAFMAVQBCACgASQBOAEQARQBYACgAeABvACwAaQApACwARABSAE8AUAAoAEMASQBSAEMAUwBIAEkARgBUACgAeABvACwAMQAtAGkALAAxACkALAAxACkAKQApACkAKQBcAG4AIAAgACAAIAAgACAAIAAgACAAIAAgACAAKQApACwAXABuACAAIAAgACAAIAAgACAAIAAgACAAIAAgAGYAbgAsAFAATwBMAFkAVgBBAEwAKABjAG8AZQBmAGYAcwAsAHgAbgApACwAXABuACAAIAAgACAAIAAgACAAIAAgACAAIAAgAGYAYQBiAHMALABCAFkAUgBPAFcAKABmAG4ALABMAEEATQBCAEQAQQAoAHYAYQBsAHUAZQAsAEkATQBBAEIAUwAoAHYAYQBsAHUAZQApACkAKQAsAFwAbgAgACAAIAAgACAAIAAgACAAIAAgACAAIABIAFMAVABBAEMASwAoAHgAbgAsAGYAbgAsAGYAYQBiAHMAKQBcAG4AIAAgACAAIAAgACAAIAAgACkAXABuACAAIAAgACAAKQApACkALABcAG4AIAAgACAAIABJAEYAKAByAGUAdAB1AHIAbgBfAGEAYgBzAD0AVABSAFUARQAsAEMASABPAE8AUwBFAEMATwBMAFMAKAByAGUAcwB1AGwAdAAsAHsAMQAsADMAfQApACwASQBOAEQARQBYACgAcgBlAHMAdQBsAHQALAAwACwAMQApACkAXABuACkAKQA7AFwAbgAvACoAKgBcAG4AKgAgAEMAcgBlAGEAdABlAHMAIABhACAAbQBvAG4AaQBjACAAcABvAGwAeQBuAG8AbQBpAGEAbAAgAGYAcgBvAG0AIABhACAAdgBlAGMAdABvAHIAIABvAGYAIAByAG8AbwB0AHMAXABuACoALwBcAG4AUABPAEwAWQBGAFIATwBNAFIATwBPAFQAUwAgAD0AIABMAEEATQBCAEQAQQAoAHIAbwBvAHQAcwAsAFwAbgBMAEUAVAAoAGQAbwBjACwAXAAiAGgAdAB0AHAAcwA6AC8ALwB3AHcAdwAuAHYAZQByAHQAZQB4ADQAMgAuAGMAbwBtAC8AbABhAG0AYgBkAGEALwBwAG8AbAB5AGYAcgBvAG0AcgBvAG8AdABzAC4AaAB0AG0AbABcACIALABcAG4AIAAgACAAIAByAG8AbwB0AHMALABJAEYAKABBAE4ARAAoAFIATwBXAFMAKAByAG8AbwB0AHMAKQA9ADEALABDAE8ATABVAE0ATgBTACgAcgBvAG8AdABzACkAPgAxACkALABUAFIAQQBOAFMAUABPAFMARQAoAHIAbwBvAHQAcwApACwAcgBvAG8AdABzACkALABcAG4AIAAgACAAIABwAG8AbAB5ACwAUgBFAEQAVQBDAEUAKAAxACwAUwBFAFEAVQBFAE4AQwBFACgAUgBPAFcAUwAoAHIAbwBvAHQAcwApAC0AMQApACwATABBAE0AQgBEAEEAKABhAGMAYwAsAGkALABcAG4AIAAgACAAIAAgACAAIAAgAEkARgAoAGkAPQAxACwAXABuACAAIAAgACAAIAAgACAAIAAgACAAIAAgAEkARgAoAE8AUgAoACAASQBTAFQARQBYAFQAKABJAE4ARABFAFgAKAByAG8AbwB0AHMALAAxACkAKQAsACAASQBTAFQARQBYAFQAKABJAE4ARABFAFgAKAByAG8AbwB0AHMALAAyACkAKQAgACkALABcAG4AIAAgACAAIAAgACAAIAAgACAAIAAgACAAIAAgACAAIABQAE8ATABZAE0AVQBMAFQAKABIAFMAVABBAEMASwAoADEALABJAE0AUABSAE8ARABVAEMAVAAoAC0AMQAsAEkATgBEAEUAWAAoAHIAbwBvAHQAcwAsADEAKQApACkALABIAFMAVABBAEMASwAoADEALABJAE0AUABSAE8ARABVAEMAVAAoAC0AMQAsAEkATgBEAEUAWAAoAHIAbwBvAHQAcwAsADIAKQApACkAKQAsAFwAbgAgACAAIAAgACAAIAAgACAAIAAgACAAIAAgACAAIAAgAFAATwBMAFkATQBVAEwAVAAoAEgAUwBUAEEAQwBLACgAMQAsAC0ASQBOAEQARQBYACgAcgBvAG8AdABzACwAMQApACkALABIAFMAVABBAEMASwAoADEALAAtAEkATgBEAEUAWAAoAHIAbwBvAHQAcwAsADIAKQApACkAXABuACAAIAAgACAAIAAgACAAIAAgACAAIAAgACkALABcAG4AIAAgACAAIAAgACAAIAAgACAAIAAgACAASQBGACgATwBSACgAUwBVAE0AKAAtAC0ASQBTAFQARQBYAFQAKABhAGMAYwApACkAPgAwACwASQBTAFQARQBYAFQAKABJAE4ARABFAFgAKAByAG8AbwB0AHMALABpACsAMQApACkAKQAsAFwAbgAgACAAIAAgACAAIAAgACAAIAAgACAAIAAgACAAIAAgAFAATwBMAFkATQBVAEwAVAAoAGEAYwBjACwASABTAFQAQQBDAEsAKAAxACwASQBNAFAAUgBPAEQAVQBDAFQAKAAtADEALABJAE4ARABFAFgAKAByAG8AbwB0AHMALABpACsAMQApACkAKQApACwAXABuACAAIAAgACAAIAAgACAAIAAgACAAIAAgACAAIAAgACAAUABPAEwAWQBNAFUATABUACgAYQBjAGMALABIAFMAVABBAEMASwAoADEALAAtAEkATgBEAEUAWAAoAHIAbwBvAHQAcwAsAGkAKwAxACkAKQApAFwAbgAgACAAIAAgACAAIAAgACAAIAAgACAAIAApAFwAbgAgACAAIAAgACAAIAAgACAAKQBcAG4AIAAgACAAIAApACkALABcAG4AIAAgACAAIAByAGUAYQBsAHAAbwBsAHkALABNAEEAUAAoAHAAbwBsAHkALABMAEEATQBCAEQAQQAoAGkAbgB1AG0ALABJAE0AUgBFAEEATAAoAGkAbgB1AG0AKQApACkALABcAG4AIAAgACAAIAByAGUAYQBsAHAAbwBsAHkAXABuACkAKQA7AFwAbgBcAG4AXABuAC8AKgAgACoAKgAqACoAKgAqACoAKgAqACoAKgAqACoAKgAqACoAKgAqACoAKgAqACoAXABuACoAIABFAFEAVQBBAFQASQBPAE4AIABTAE8ATABWAEUAUgBTAFwAbgAqACoAKgAqACoAKgAqACoAKgAqACoAKgAqACoAKgAqACoAKgAqACoAKgAqACAAKgAvAFwAbgBcAG4ALwAqACoAXABuACoAIABOAGUAdwB0AG8AbgAtAFIAYQBwAGgAcwBvAG4AIABNAGUAdABoAG8AZAAgAGUAcQB1AGEAdABpAG8AbgAgAHMAbwBsAHYAZQByACAAZgBvAHIAIABmAGkAbgBkAGkAbgBnACAAZgAoAHgAKQA9AHkAXABuACoALwBcAG4AUwBPAEwAVgBFAF8ATgBSACAAPQAgAEwAQQBNAEIARABBACgAZgB1AG4AYwB0AGkAbwBuACwAeABzAHQAYQByAHQALABbAHkAXQAsAFsAeABzAHQAZQBwAF0ALABbAGUAcABzAGkAbABvAG4AXQAsAFsAaQB0AGUAcgBhAHQAaQBvAG4AcwBdACwAWwBpAG4AZgBvAF0ALABcAG4ATABFAFQAKABkAG8AYwAsAFwAIgBoAHQAdABwAHMAOgAvAC8AdwB3AHcALgB2AGUAcgB0AGUAeAA0ADIALgBjAG8AbQAvAGwAYQBtAGIAZABhAC8AbgBlAHcAdABvAG4ALQByAGEAcABoAHMAbwBuAC4AaAB0AG0AbABcACIALABcAG4AIAAgACAAIABuACwAUgBPAFcAUwAoAHgAcwB0AGEAcgB0ACkALABcAG4AIAAgACAAIAB5ACwASQBGACgASQBTAE8ATQBJAFQAVABFAEQAKAB5ACkALAAwACwAeQApACwAXABuACAAIAAgACAAeABzAHQAZQBwACwASQBGACgASQBTAE8ATQBJAFQAVABFAEQAKAB4AHMAdABlAHAAKQAsADAALgAxACwAeABzAHQAZQBwACkALABcAG4AIAAgACAAIABlAHAAcwBpAGwAbwBuACwASQBGACgASQBTAE8ATQBJAFQAVABFAEQAKABlAHAAcwBpAGwAbwBuACkALAAxAEUALQAxADQALABlAHAAcwBpAGwAbwBuACkALABcAG4AIAAgACAAIABpAHQAZQByAGEAdABpAG8AbgBzACwASQBGACgASQBTAE8ATQBJAFQAVABFAEQAKABpAHQAZQByAGEAdABpAG8AbgBzACkALAAyADAALABpAHQAZQByAGEAdABpAG8AbgBzACkALABcAG4AIAAgACAAIAByAGUAdAAsAFIARQBEAFUAQwBFACgAewBcACIAeABcACIALABcACIARgB4AFwAIgAsAFwAIgBJAHQAZQByAGEAdABpAG8AbgBzAFwAIgB9ACwAUwBFAFEAVQBFAE4AQwBFACgAbgApACwATABBAE0AQgBEAEEAKABhAGMAYwBfAHIAbwB3ACwAaQAsAFwAbgAgACAAIAAgACAAIAAgACAAVgBTAFQAQQBDAEsAKABhAGMAYwBfAHIAbwB3ACwAXABuACAAIAAgACAAIAAgACAAIABSAEUARABVAEMARQAoAFwAbgAgACAAIAAgACAAIAAgACAAIAAgACAAIABIAFMAVABBAEMASwAoAEkATgBEAEUAWAAoAHgAcwB0AGEAcgB0ACwAaQApACwAZgB1AG4AYwB0AGkAbwBuACgASQBOAEQARQBYACgAeABzAHQAYQByAHQALABpACkAKQAtAHkALAAwACkALABcAG4AIAAgACAAIAAgACAAIAAgACAAIAAgACAAUwBFAFEAVQBFAE4AQwBFACgAaQB0AGUAcgBhAHQAaQBvAG4AcwApACwAXABuACAAIAAgACAAIAAgACAAIAAgACAAIAAgAEwAQQBNAEIARABBACgAYQBjAGMALABrACwAXABuACAAIAAgACAAIAAgACAAIAAgACAAIAAgAEwARQBUACgAYwB1AHIAXwByAG8AdwAsAFQAQQBLAEUAKABhAGMAYwAsAC0AMQApACwAXABuACAAIAAgACAAIAAgACAAIAAgACAAIAAgACAAIAAgACAASQBGACgAQQBCAFMAKABJAE4ARABFAFgAKABjAHUAcgBfAHIAbwB3ACwAMQAsADIAKQApADwAQQBCAFMAKABlAHAAcwBpAGwAbwBuACkALABhAGMAYwAsAFwAbgAgACAAIAAgACAAIAAgACAAIAAgACAAIAAgACAAIAAgACAAIAAgACAATABFAFQAKABcAG4AIAAgACAAIAAgACAAIAAgACAAIAAgACAAIAAgACAAIAAgACAAIAAgACAAIAAgACAAeABuACwASQBOAEQARQBYACgAYwB1AHIAXwByAG8AdwAsADEALAAxACkALABcAG4AIAAgACAAIAAgACAAIAAgACAAIAAgACAAIAAgACAAIAAgACAAIAAgACAAIAAgACAAZgBuACwASQBOAEQARQBYACgAYwB1AHIAXwByAG8AdwAsADEALAAyACkALABcAG4AIAAgACAAIAAgACAAIAAgACAAIAAgACAAIAAgACAAIAAgACAAIAAgACAAIAAgACAAZgBwAHIAaQBtAGUAbgAsACgAZgB1AG4AYwB0AGkAbwBuACgAeABuACsAeABzAHQAZQBwACkALQB5AC0AZgBuACkALwB4AHMAdABlAHAALABcAG4AIAAgACAAIAAgACAAIAAgACAAIAAgACAAIAAgACAAIAAgACAAIAAgACAAIAAgACAAeABuAGUAdwAsAHgAbgAtAGYAbgAvAGYAcAByAGkAbQBlAG4ALABcAG4AIAAgACAAIAAgACAAIAAgACAAIAAgACAAIAAgACAAIAAgACAAIAAgACAAIAAgACAAZgBuAGUAdwAsAGYAdQBuAGMAdABpAG8AbgAoAHgAbgBlAHcAKQAtAHkALABcAG4AIAAgACAAIAAgACAAIAAgACAAIAAgACAAIAAgACAAIAAgACAAIAAgACAAIAAgACAAbgBlAHcAXwByAG8AdwAsAEgAUwBUAEEAQwBLACgAeABuAGUAdwAsAGYAbgBlAHcALABrACkALABcAG4AIAAgACAAIAAgACAAIAAgACAAIAAgACAAIAAgACAAIAAgACAAIAAgACAAIAAgACAAbwB1AHQAcAB1AHQALABJAEYAKABpAG4AZgBvAD0AXAAiAHYAZQByAGIAbwBzAGUAXAAiACwAVgBTAFQAQQBDAEsAKABhAGMAYwAsAG4AZQB3AF8AcgBvAHcAKQAsAG4AZQB3AF8AcgBvAHcAKQAsAFwAbgAgACAAIAAgACAAIAAgACAAIAAgACAAIAAgACAAIAAgACAAIAAgACAAIAAgACAAIABvAHUAdABwAHUAdABcAG4AIAAgACAAIAAgACAAIAAgACAAIAAgACAAIAAgACAAIAAgACAAIAAgACkAXABuACAAIAAgACAAIAAgACAAIAAgACAAIAAgACAAIAAgACAAKQBcAG4AIAAgACAAIAAgACAAIAAgACAAIAAgACAAKQApAFwAbgAgACAAIAAgACAAIAAgACAAKQApAFwAbgAgACAAIAAgACkAKQAsAFwAbgAgACAAIAAgAEkARgAoAE8AUgAoAGkAbgBmAG8APQBUAFIAVQBFACwAaQBuAGYAbwA9AFwAIgB2AGUAcgBiAG8AcwBlAFwAIgApACwAcgBlAHQALABEAFIATwBQACgAcgBlAHQALAAxACwALQAyACkAKQBcAG4AKQApADsAXABuAC8AKgAqAFwAbgAqACAAUQB1AGEAZAByAGEAdABpAGMAIABGAG8AcgBtAHUAbABhACAAcgBlAHQAdQByAG4AcwAgAHQAaABlACAAcgBlAGEAbAAgAG8AcgAgAGMAbwBtAHAAbABlAHgAIABSAG8AbwB0AHMAIABvAGYAIABhAHgAXgAyACsAYgB4ACsAYwA9ADAAXABuACoALwBcAG4AUQBVAEEARABSAEEAVABJAEMAIAA9ACAATABBAE0AQgBEAEEAKABhACwAWwBiAF0ALABbAGMAXQAsAFwAbgBMAEUAVAAoAGQAbwBjACwAXAAiAGgAdAB0AHAAcwA6AC8ALwB3AHcAdwAuAHYAZQByAHQAZQB4ADQAMgAuAGMAbwBtAC8AbABhAG0AYgBkAGEALwBxAHUAYQBkAHIAYQB0AGkAYwAuAGgAdABtAGwAXAAiACwAXABuACAAIAAgACAAYgAsAEkARgAoAEkAUwBPAE0ASQBUAFQARQBEACgAYgApACwASQBOAEQARQBYACgAYQAsADIAKQAsAGIAKQAsAFwAbgAgACAAIAAgAGMALABJAEYAKABJAFMATwBNAEkAVABUAEUARAAoAGMAKQAsAEkATgBEAEUAWAAoAGEALAAzACkALABjACkALABcAG4AIAAgACAAIABhACwASQBGACgAQwBPAEwAVQBNAE4AUwAoAGEAKQA+ADEALABJAE4ARABFAFgAKABhACwAMQApACwAYQApACwAXABuACAAIAAgACAAdgBlAHIAdABlAHgALAAtAGIALwAoADIAKgBhACkALABcAG4AIAAgACAAIAByAGEAZABpAGMAYQBuAGQALAAoAHYAZQByAHQAZQB4ACkAXgAyAC0AYwAvAGEALABcAG4AIAAgACAAIABwAG0ALABTAFEAUgBUACgAQQBCAFMAKAByAGEAZABpAGMAYQBuAGQAKQApACwAXABuACAAIAAgACAAcgBtAGEAeAAsAHYAZQByAHQAZQB4ACsAcABtACwAXABuACAAIAAgACAAcgBtAGkAbgAsAHYAZQByAHQAZQB4AC0AcABtACwAXABuACAAIAAgACAASQBGACgAcgBhAGQAaQBjAGEAbgBkAD4APQAwACwAXABuACAAIAAgACAAIAAgACAAIABJAEYAKAByAGEAZABpAGMAYQBuAGQAPQAwACwAVgBTAFQAQQBDAEsAKAByAG0AYQB4ACwAcgBtAGEAeAApACwAXABuACAAIAAgACAAIAAgACAAIAAgACAAIAAgAEkARgAoAHYAZQByAHQAZQB4AD4APQAwACwAXABuACAAIAAgACAAIAAgACAAIAAgACAAIAAgACAAIAAgACAAVgBTAFQAQQBDAEsAKAByAG0AYQB4ACwAKABjAC8AYQApAC8AKAByAG0AYQB4ACkAKQAsAFwAbgAgACAAIAAgACAAIAAgACAAIAAgACAAIAAgACAAIAAgAFYAUwBUAEEAQwBLACgAKABjAC8AYQApAC8AcgBtAGkAbgAsAHIAbQBpAG4AKQBcAG4AIAAgACAAIAAgACAAIAAgACAAIAAgACAAKQBcAG4AIAAgACAAIAAgACAAIAAgACkALABcAG4AIAAgACAAIAAgACAAIAAgAFYAUwBUAEEAQwBLACgAQwBPAE0AUABMAEUAWAAoAHYAZQByAHQAZQB4ACwAcABtACkALABDAE8ATQBQAEwARQBYACgAdgBlAHIAdABlAHgALAAtAHAAbQApACkAXABuACAAIAAgACAAKQBcAG4AKQApADsAXABuAFwAbgAvACoAKgAqACoAKgAqACoAKgAqACoAKgAqACoAKgAqACoAKgAqACoAKgAqACoAKgAqAFwAbgAqACAAIABVAFQASQBMAEkAVABZACAARgBVAE4AQwBUAEkATwBOAFMAXABuACoAKgAqACoAKgAqACoAKgAqACoAKgAqACoAKgAqACoAKgAqACoAKgAqACoAKgAqACoALwBcAG4ALwAqACoAXABuACoAIABSAHUAbgBzACAAYQAgAGYAdQBuAGMAdABpAG8AbgAgAG4AIAB0AGkAbQBlAHMAIABpAG4AIABzAGUAcQB1AGUAbgBjAGUAIAB1AHMAaQBuAGcAIABCAFkAUgBPAFcAIABhAG4AZAAgAHIAZQB0AHUAcgBuAHMAIAB0AGgAZQAgAHQAaQBtAGUAIABpAG4AIABtAGkAbABsAGkAcwBlAGMAbwBuAGQAcwBcAG4AKgAgAFIAZQBzAG8AbAB1AHQAaQBvAG4AIABpAHMAIABhAGIAbwB1AHQAIAAxADAAIABtAGkAbABsAGkAcwBlAGMAbwBuAGQAcwBcAG4AKgAvAFwAbgBUAEkATQBFAFIAIAA9ACAATABBAE0AQgBEAEEAKABuAF8AaQB0AGUAcgBhAHQAaQBvAG4AcwAsAGYAdQBuAGMAdABpAG8AbgAsAFsAcgBlAHQAXwB2AGEAbAB1AGUAcwBdACwAWwBqAF0ALABbAGsAXQAsAFwAbgBMAEUAVAAoAGQAbwBjACwAXAAiAGgAdAB0AHAAcwA6AC8ALwB3AHcAdwAuAHYAZQByAHQAZQB4ADQAMgAuAGMAbwBtAC8AbABhAG0AYgBkAGEALwB0AGkAbQBlAHIALgBoAHQAbQBsAFwAIgAsAFwAbgAgACAAIAAgAHMAdABhAHIAdABlAGQALABOAE8AVwAoACkALABcAG4AIAAgACAAIABzAGUAcQAsAFMARQBRAFUARQBOAEMARQAoAG4AXwBpAHQAZQByAGEAdABpAG8AbgBzACkALABcAG4AIAAgACAAIAByAGUAcwB1AGwAdAAsAEIAWQBSAE8AVwAoAHMAZQBxACwATABBAE0AQgBEAEEAKABpACwASQBOAEQARQBYACgAZgB1AG4AYwB0AGkAbwBuACgAaQApACwASQBGACgASQBTAEIATABBAE4ASwAoAGoAKQAsADEALABqACkALABJAEYAKABJAFMAQgBMAEEATgBLACgAawApACwAMQAsAGsAKQApACkAKQAsAFwAbgAgACAAIAAgAHQAaQBtAGUAXwBpAG4AXwBtAHMALAAoAE4ATwBXACgAKQAtAHMAdABhAHIAdABlAGQAKQAqADIANAAqADMANgAwADAAMAAwADAALABcAG4AIAAgACAAIABJAEYAKAByAGUAdABfAHYAYQBsAHUAZQBzAD0AVABSAFUARQAsAHIAZQBzAHUAbAB0ACwAdABpAG0AZQBfAGkAbgBfAG0AcwApAFwAbgApACkAOwBcAG4ALwAqACoAXABuACoAIABMAGkAawBlACAAQgBZAFIATwBXACwAIABiAHUAdAAgAGMAYQBuACAAcgBlAHQAdQByAG4AIABhACAAbQB1AGwAdABpAC0AYwBvAGwAdQBtAG4AIABhAHIAcgBhAHkAIABpAG4AcwB0AGUAYQBkACAAbwBmACAAagB1AHMAdAAgAGEAIABzAGkAbgBnAGwAZQAgAGMAbwBsAHUAbQBuAFwAbgAqAC8AXABuAEIAWQBSAE8AVwAyAEQAIAA9ACAATABBAE0AQgBEAEEAKABhAHIAcgBhAHkALAAgAGYAdQBuAGMAdABpAG8AbgAsAFwAbgBMAEUAVAAoAGQAbwBjACwAXAAiAGgAdAB0AHAAcwA6AC8ALwB3AHcAdwAuAHYAZQByAHQAZQB4ADQAMgAuAGMAbwBtAC8AbABhAG0AYgBkAGEALwBiAHkAcgBvAHcAMgBkAC4AaAB0AG0AbABcACIALABcAG4AIAAgACAAIABSAEUARABVAEMARQAoAFwAIgBcACIALABcAG4AIAAgACAAIAAgACAAIAAgAFMARQBRAFUARQBOAEMARQAoAFIATwBXAFMAKABhAHIAcgBhAHkAKQApACwAXABuACAAIAAgACAAIAAgACAAIABMAEEATQBCAEQAQQAoAGEAYwBjACwAaQAsAEkARgAoAGkAPQAxACwAXABuACAAIAAgACAAIAAgACAAIAAgACAAIAAgAGYAdQBuAGMAdABpAG8AbgAoAEMASABPAE8AUwBFAFIATwBXAFMAKABhAHIAcgBhAHkALABpACkAKQAsAFwAbgAgACAAIAAgACAAIAAgACAAIAAgACAAIABWAFMAVABBAEMASwAoAGEAYwBjACwAZgB1AG4AYwB0AGkAbwBuACgAQwBIAE8ATwBTAEUAUgBPAFcAUwAoAGEAcgByAGEAeQAsAGkAKQApACkAXABuACAAIAAgACAAIAAgACAAIAApACkAXABuACAAIAAgACAAKQBcAG4AKQApADsAXABuAC8AKgAqAFwAbgAqACAATABpAGsAZQAgAEIAWQBDAE8ATAAsACAAYgB1AHQAIABjAGEAbgAgAHIAZQB0AHUAcgBuACAAYQAgAG0AdQBsAHQAaQAtAHIAbwB3ACAAYQByAHIAYQB5ACAAaQBuAHMAdABlAGEAZAAgAG8AZgAgAGoAdQBzAHQAIABhACAAcwBpAG4AZwBsAGUAIAByAG8AdwBcAG4AKgAvAFwAbgBCAFkAQwBPAEwAMgBEACAAPQAgAEwAQQBNAEIARABBACgAYQByAHIAYQB5ACwAIABmAHUAbgBjAHQAaQBvAG4ALABcAG4ATABFAFQAKABkAG8AYwAsAFwAIgBoAHQAdABwAHMAOgAvAC8AdwB3AHcALgB2AGUAcgB0AGUAeAA0ADIALgBjAG8AbQAvAGwAYQBtAGIAZABhAC8AYgB5AHIAbwB3ADIAZAAuAGgAdABtAGwAXAAiACwAXABuACAAIAAgACAAUgBFAEQAVQBDAEUAKABcACIAXAAiACwAXABuACAAIAAgACAAIAAgACAAIABTAEUAUQBVAEUATgBDAEUAKABDAE8ATABVAE0ATgBTACgAYQByAHIAYQB5ACkAKQAsAFwAbgAgACAAIAAgACAAIAAgACAATABBAE0AQgBEAEEAKABhAGMAYwAsAGkALABJAEYAKABpAD0AMQAsAFwAbgAgACAAIAAgACAAIAAgACAAIAAgACAAIABmAHUAbgBjAHQAaQBvAG4AKABDAEgATwBPAFMARQBDAE8ATABTACgAYQByAHIAYQB5ACwAaQApACkALABcAG4AIAAgACAAIAAgACAAIAAgACAAIAAgACAASABTAFQAQQBDAEsAKABhAGMAYwAsAGYAdQBuAGMAdABpAG8AbgAoAEMASABPAE8AUwBFAEMATwBMAFMAKABhAHIAcgBhAHkALABpACkAKQApAFwAbgAgACAAIAAgACAAIAAgACAAKQApAFwAbgAgACAAIAAgACkAXABuACkAKQA7AFwAbgAvACoAKgBcAG4AKgAgAEgAUwBUAEEAQwBLACAAdABoAGUAIAByAGUAcwB1AGwAdAAgAG8AZgAgAGUAeABwAHIAZQBzAHMAaQBvAG4AIABmAG8AcgAgAGUAYQBjAGgAIAB2AGEAbAB1AGUAIABpAG4AIABhACAAdgBlAGMAdABvAHIAXABuACoAIABlAC4AZwAuACAASABTAFQAQQBDAEsAXwBGAG8AcgBFAGEAYwBoACgAdgBlAGMAdABvAHIALAAgAEwAQQBNAEIARABBACgAdgBhAGwALAAgAFMARQBRAFUARQBOAEMARQAoAHYAYQBsACkAIAApACAAKQApAFwAbgAqAC8AXABuAEgAUwBUAEEAQwBLAF8ARgBvAHIARQBhAGMAaAAgAD0AIABMAEEATQBCAEQAQQAoAHYAZQBjAHQAbwByACwAIABsAGEAbQBiAGQAYQBfAGYAdQBuAGMAdABpAG8AbgAsAFwAbgBMAEUAVAAoAGQAbwBjACwAXAAiAGgAdAB0AHAAcwA6AC8ALwB3AHcAdwAuAHYAZQByAHQAZQB4ADQAMgAuAGMAbwBtAC8AbABhAG0AYgBkAGEALwBiAHkAcgBvAHcAMgBkAC4AaAB0AG0AbABcACIALABcAG4AIAAgACAAIABEAFIATwBQACgAUgBFAEQAVQBDAEUAKABcACIAXAAiACwAIAB2AGUAYwB0AG8AcgAsAFwAbgAgACAAIAAgACAAIAAgACAATABBAE0AQgBEAEEAKABhAGMAYwAsAHYAYQBsACwAIABIAFMAVABBAEMASwAoAGEAYwBjACwAIABsAGEAbQBiAGQAYQBfAGYAdQBuAGMAdABpAG8AbgAoAHYAYQBsACkAIAApACAAKQBcAG4AIAAgACAAIAApACwALAAxACkAXABuACkAKQA7AFwAbgBcAG4ALwAqACoAXABuACoAIABWAFMAVABBAEMASwAgAHQAaABlACAAcgBlAHMAdQBsAHQAIABvAGYAIABlAHgAcAByAGUAcwBzAGkAbwBuACAAZgBvAHIAIABlAGEAYwBoACAAdgBhAGwAdQBlACAAaQBuACAAYQAgAHYAZQBjAHQAbwByAFwAbgAqACAAZQAuAGcALgAgAFYAUwBUAEEAQwBLAF8ARgBvAHIARQBhAGMAaAAoAHYAZQBjAHQAbwByACwAIABMAEEATQBCAEQAQQAoAHYAYQBsACwAIABTAEUAUQBVAEUATgBDAEUAKAB2AGEAbAApACAAKQAgACkAKQBcAG4AKgAvAFwAbgBWAFMAVABBAEMASwBfAEYAbwByAEUAYQBjAGgAIAA9ACAATABBAE0AQgBEAEEAKAB2AGUAYwB0AG8AcgAsACAAbABhAG0AYgBkAGEAXwBmAHUAbgBjAHQAaQBvAG4ALABcAG4ATABFAFQAKABkAG8AYwAsAFwAIgBoAHQAdABwAHMAOgAvAC8AdwB3AHcALgB2AGUAcgB0AGUAeAA0ADIALgBjAG8AbQAvAGwAYQBtAGIAZABhAC8AYgB5AHIAbwB3ADIAZAAuAGgAdABtAGwAXAAiACwAXABuACAAIAAgACAARABSAE8AUAAoAFIARQBEAFUAQwBFACgAXAAiAFwAIgAsACAAdgBlAGMAdABvAHIALABcAG4AIAAgACAAIAAgACAAIAAgAEwAQQBNAEIARABBACgAYQBjAGMALAB2AGEAbAAsACAAVgBTAFQAQQBDAEsAKABhAGMAYwAsACAAbABhAG0AYgBkAGEAXwBmAHUAbgBjAHQAaQBvAG4AKAB2AGEAbAApACAAKQAgACkAXABuACAAIAAgACAAKQAsADEAKQBcAG4AKQApADsAXABuAFwAbgAvACoAIAAqACoAKgAqACoAKgAqACoAKgAqACoAKgAqACoAKgAqACoAKgAqACoAKgAqACoAKgAqACoAKgAqACoAKgBcAG4AKgAgAEYAdQBuAGMAdABpAG8AbgBzACAAZgBvAHIAIABTAHQAcgB1AGMAdAB1AHIAZQAgAEEAcgByAGEAeQBzAFwAbgAqACAAKgAqACoAKgAqACoAKgAqACoAKgAqACoAKgAqACoAKgAqACoAKgAqACoAKgAqACoAKgAqACoAKgAqACoALwBcAG4AXABuAC8AKgAqAFwAbgAqACAAUgBlAHQAdQByAG4AcwAgAHQAaABlACAAZgBpAGUAbABkACAAZABlAGYAaQBuAGUAZAAgAGIAeQAgAHQAaABlACAAbgBhAG0AZQBcAG4AKgAvAFwAbgBTAFQAUgBVAEMAVABfAEcARQBUACAAPQAgAEwAQQBNAEIARABBACgAbgBhAG0AZQAsAHMAdAByAHUAYwB0AHUAcgBlACwAXABuAEwARQBUACgAZABvAGMALABcACIAaAB0AHQAcABzADoALwAvAHcAdwB3AC4AdgBlAHIAdABlAHgANAAyAC4AYwBvAG0ALwBsAGEAbQBiAGQAYQAvAHMAdAByAHUAYwB0AHUAcgBlAHMALgBoAHQAbQBsAFwAIgAsAFwAbgAgACAAIAAgAG4ALABDAE8ATABVAE0ATgBTACgAbgBhAG0AZQApACwAXABuACAAIAAgACAAZwBlAHQAUwB0AHIAdQBjAHQALABMAEEATQBCAEQAQQAoAGkAZAAsAHMAdAByAHUAYwB0AF8AaQAsAFwAbgAgACAAIAAgACAAIAAgACAATABFAFQAKABcAG4AIAAgACAAIAAgACAAIAAgACAAIAAgACAAcgBvAHcALABNAEEAVABDAEgAKABpAGQALABJAE4ARABFAFgAKABzAHQAcgB1AGMAdABfAGkALAAwACwAMQApACwAMAApACwAXABuACAAIAAgACAAIAAgACAAIAAgACAAIAAgAHIAbwB3AHMALABJAE4ARABFAFgAKABzAHQAcgB1AGMAdABfAGkALAByAG8AdwAsADIAKQAsAFwAbgAgACAAIAAgACAAIAAgACAAIAAgACAAIABjAG8AbABzACwASQBOAEQARQBYACgAcwB0AHIAdQBjAHQAXwBpACwAcgBvAHcALAAzACkALABcAG4AIAAgACAAIAAgACAAIAAgACAAIAAgACAASQBOAEQARQBYACgAcwB0AHIAdQBjAHQAXwBpACwAcgBvAHcAKwAxACwAMgApADoASQBOAEQARQBYACgAcwB0AHIAdQBjAHQAXwBpACwAcgBvAHcAKwByAG8AdwBzACwAMQArAGMAbwBsAHMAKQBcAG4AIAAgACAAIAAgACAAIAAgACkAXABuACAAIAAgACAAKQAsAFwAbgAgACAAIAAgAEkARgAoAG4APQAxACwAXABuACAAIAAgACAAIAAgACAAIABnAGUAdABTAHQAcgB1AGMAdAAoAG4AYQBtAGUALABzAHQAcgB1AGMAdAB1AHIAZQApACwAXABuACAAIAAgACAAIAAgACAAIABSAEUARABVAEMARQAoAHMAdAByAHUAYwB0AHUAcgBlACwAUwBFAFEAVQBFAE4AQwBFACgAbgApACwATABBAE0AQgBEAEEAKABhAGMAYwAsAGkALABcAG4AIAAgACAAIAAgACAAIAAgACAAIAAgACAAZwBlAHQAUwB0AHIAdQBjAHQAKABJAE4ARABFAFgAKABuAGEAbQBlACwAaQApACwAYQBjAGMAKQBcAG4AIAAgACAAIAAgACAAIAAgACkAKQBcAG4AIAAgACAAIAApAFwAbgApACkAOwBcAG4AXABuAC8AKgAqAFwAbgAqACAAQwByAGUAYQB0AGUAcwAgAGEAIABzAHQAcgB1AGMAdAB1AHIAZQAgAHcAaQB0AGgAIAB1AHAAIAB0AG8AIAAzACAAZgBpAGUAbABkAHMALgBcAG4AKgAvAFwAbgBTAFQAUgBVAEMAVABfAEMAUgBFAEEAVABFACAAPQAgAEwAQQBNAEIARABBACgAbgBhAG0AZQBfADEALABhAHIAcgBhAHkAXwAxACwAWwBuAGEAbQBlAF8AMgBdACwAWwBhAHIAcgBhAHkAXwAyAF0ALABbAG4AYQBtAGUAXwAzAF0ALABbAGEAcgByAGEAeQBfADMAXQAsAFsAbgBhAG0AZQBfADQAXQAsAFsAYQByAHIAYQB5AF8ANABdACwAXABuAEwARQBUACgAZABvAGMALABcACIAaAB0AHQAcABzADoALwAvAHcAdwB3AC4AdgBlAHIAdABlAHgANAAyAC4AYwBvAG0ALwBsAGEAbQBiAGQAYQAvAHMAdAByAHUAYwB0AHUAcgBlAHMALgBoAHQAbQBsAFwAIgAsAFwAbgAgACAAIAAgAG8AbgBlACwAVgBTAFQAQQBDAEsAKABIAFMAVABBAEMASwAoAG4AYQBtAGUAXwAxACwAUgBPAFcAUwAoAGEAcgByAGEAeQBfADEAKQAsAEMATwBMAFUATQBOAFMAKABhAHIAcgBhAHkAXwAxACkAKQAsAEgAUwBUAEEAQwBLACgAXAAiAFwAIgAsAGEAcgByAGEAeQBfADEAKQApACwAXABuACAAIAAgACAAaQBuAGMAbAB1AGQAZQBfADIALABOAE8AVAAoAEEATgBEACgASQBTAE8ATQBJAFQAVABFAEQAKABuAGEAbQBlAF8AMgApACwASQBTAE8ATQBJAFQAVABFAEQAKABhAHIAcgBhAHkAXwAyACkAKQApACwAXABuACAAIAAgACAAaQBuAGMAbAB1AGQAZQBfADMALABOAE8AVAAoAEEATgBEACgASQBTAE8ATQBJAFQAVABFAEQAKABuAGEAbQBlAF8AMwApACwASQBTAE8ATQBJAFQAVABFAEQAKABhAHIAcgBhAHkAXwAzACkAKQApACwAXABuACAAIAAgACAAaQBuAGMAbAB1AGQAZQBfADQALABOAE8AVAAoAEEATgBEACgASQBTAE8ATQBJAFQAVABFAEQAKABuAGEAbQBlAF8ANAApACwASQBTAE8ATQBJAFQAVABFAEQAKABhAHIAcgBhAHkAXwA0ACkAKQApACwAXABuACAAIAAgACAAdAB3AG8ALABJAEYAKABpAG4AYwBsAHUAZABlAF8AMgAsAFwAbgAgACAAIAAgACAAIAAgACAASQBGAEUAUgBSAE8AUgAoAFYAUwBUAEEAQwBLACgASABTAFQAQQBDAEsAKABuAGEAbQBlAF8AMgAsAFIATwBXAFMAKABhAHIAcgBhAHkAXwAyACkALABDAE8ATABVAE0ATgBTACgAYQByAHIAYQB5AF8AMgApACkALABIAFMAVABBAEMASwAoAFwAIgBcACIALABhAHIAcgBhAHkAXwAyACkAKQAsAFwAIgBcACIAKQAsAFwAbgAgACAAIAAgACAAIAAgACAAXAAiAEUAbQBwAHQAeQBcACIAXABuACAAIAAgACAAKQAsAFwAbgAgACAAIAAgAHQAaAByAGUAZQAsAEkARgAoAGkAbgBjAGwAdQBkAGUAXwAzACwAXABuACAAIAAgACAAIAAgACAAIABJAEYARQBSAFIATwBSACgAVgBTAFQAQQBDAEsAKABIAFMAVABBAEMASwAoAG4AYQBtAGUAXwAzACwAUgBPAFcAUwAoAGEAcgByAGEAeQBfADMAKQAsAEMATwBMAFUATQBOAFMAKABhAHIAcgBhAHkAXwAzACkAKQAsAEgAUwBUAEEAQwBLACgAXAAiAFwAIgAsAGEAcgByAGEAeQBfADMAKQApACwAXAAiAFwAIgApACwAXABuACAAIAAgACAAIAAgACAAIABcACIARQBtAHAAdAB5AFwAIgBcAG4AIAAgACAAIAApACwAXABuACAAIAAgACAAZgBvAHUAcgAsAEkARgAoAGkAbgBjAGwAdQBkAGUAXwA0ACwAXABuACAAIAAgACAAIAAgACAAIABJAEYARQBSAFIATwBSACgAVgBTAFQAQQBDAEsAKABIAFMAVABBAEMASwAoAG4AYQBtAGUAXwA0ACwAUgBPAFcAUwAoAGEAcgByAGEAeQBfADQAKQAsAEMATwBMAFUATQBOAFMAKABhAHIAcgBhAHkAXwA0ACkAKQAsAEgAUwBUAEEAQwBLACgAXAAiAFwAIgAsAGEAcgByAGEAeQBfADQAKQApACwAXAAiAFwAIgApACwAXABuACAAIAAgACAAIAAgACAAIABcACIARQBtAHAAdAB5AFwAIgBcAG4AIAAgACAAIAApACwAXABuACAAIAAgACAAcgBlAHQALABJAEYAKABOAE8AVAAoAGkAbgBjAGwAdQBkAGUAXwAyACkALABcAG4AIAAgACAAIAAgACAAIAAgAG8AbgBlACwAXABuACAAIAAgACAAIAAgACAAIABJAEYAKABOAE8AVAAoAGkAbgBjAGwAdQBkAGUAXwAzACkALABcAG4AIAAgACAAIAAgACAAIAAgACAAIAAgACAAVgBTAFQAQQBDAEsAKABvAG4AZQAsAHQAdwBvACkALABcAG4AIAAgACAAIAAgACAAIAAgAEkARgAoAE4ATwBUACgAaQBuAGMAbAB1AGQAZQBfADQAKQAsAFwAbgAgACAAIAAgACAAIAAgACAAIAAgACAAIABWAFMAVABBAEMASwAoAG8AbgBlACwAdAB3AG8ALAB0AGgAcgBlAGUAKQAsAFwAbgAgACAAIAAgACAAIAAgACAAIAAgACAAIABWAFMAVABBAEMASwAoAG8AbgBlACwAdAB3AG8ALAB0AGgAcgBlAGUALABmAG8AdQByACkAXABuACAAIAAgACAAIAAgACAAIAApACkAXABuACAAIAAgACAAKQAsAFwAbgAgACAAIAAgAE0AQQBQACgAcgBlAHQALABMAEEATQBCAEQAQQAoAGMAZQBsAGwALABJAEYAKABJAFMATgBBACgAYwBlAGwAbAApACwAXAAiAFwAIgAsAGMAZQBsAGwAKQApACkAXABuACkAKQA7AFwAbgBcAG4ALwAqACoAIABcAG4AKgAgAEEAcABwAGUAbgBkAHMAIAB0AGgAZQAgAG4AZQB3ACAAbgBhAG0AZQAgAGEAbgBkACAAYQByAHIAYQB5ACAAdABvACAAdABoAGUAIABlAHgAaQBzAHQAaQBuAGcAIABzAHQAcgB1AGMAdAB1AHIAZQAuAFwAbgAqAC8AXABuAFMAVABSAFUAQwBUAF8AQQBQAFAARQBOAEQAIAA9ACAATABBAE0AQgBEAEEAKABzAHQAcgB1AGMAdAB1AHIAZQAsAG4AYQBtAGUALABhAHIAcgBhAHkALABcAG4ATABFAFQAKABkAG8AYwAsAFwAIgBoAHQAdABwAHMAOgAvAC8AdwB3AHcALgB2AGUAcgB0AGUAeAA0ADIALgBjAG8AbQAvAGwAYQBtAGIAZABhAC8AcwB0AHIAdQBjAHQAdQByAGUAcwAuAGgAdABtAGwAXAAiACwAXABuACAAIAAgACAAcgBlAHQALABWAFMAVABBAEMASwAoAHMAdAByAHUAYwB0AHUAcgBlACwAXABuACAAIAAgACAAIAAgACAAIABIAFMAVABBAEMASwAoAG4AYQBtAGUALABSAE8AVwBTACgAYQByAHIAYQB5ACkALABDAE8ATABVAE0ATgBTACgAYQByAHIAYQB5ACkAKQAsAFwAbgAgACAAIAAgACAAIAAgACAASABTAFQAQQBDAEsAKABcACIAXAAiACwAYQByAHIAYQB5ACkAXABuACAAIAAgACAAKQAsAFwAbgAgACAAIAAgAE0AQQBQACgAcgBlAHQALABMAEEATQBCAEQAQQAoAGMAZQBsAGwALABJAEYAKABJAFMATgBBACgAYwBlAGwAbAApACwAXAAiAFwAIgAsAGMAZQBsAGwAKQApACkAXABuACkAKQA7AFwAbgBcAG4ALwAqACoAXABuACoAIABSAGUAbQBvAHYAZQBzACAAYQAgAGYAaQBlAGwAZAAgAGIAeQAgAG4AYQBtAGUAIABmAHIAbwBtACAAYQBuACAAZQB4AGkAcwB0AGkAbgBnACAAcwB0AHIAdQBjAHQAdQByAGUALgBcAG4AKgAvAFwAbgBTAFQAUgBVAEMAVABfAFIARQBNAE8AVgBFACAAPQAgAEwAQQBNAEIARABBACgAbgBhAG0AZQAsAHMAdAByAHUAYwB0AHUAcgBlACwAXABuAEwARQBUACgAZABvAGMALABcACIAaAB0AHQAcABzADoALwAvAHcAdwB3AC4AdgBlAHIAdABlAHgANAAyAC4AYwBvAG0ALwBsAGEAbQBiAGQAYQAvAHMAdAByAHUAYwB0AHUAcgBlAHMALgBoAHQAbQBsAFwAIgAsAFwAbgAgACAAIAAgAHIAbwB3ACwATQBBAFQAQwBIACgAbgBhAG0AZQAsAEkATgBEAEUAWAAoAHMAdAByAHUAYwB0AHUAcgBlACwAMAAsADEAKQAsADAAKQAsAFwAbgAgACAAIAAgAHIAbwB3AHMALABJAE4ARABFAFgAKABzAHQAcgB1AGMAdAB1AHIAZQAsAHIAbwB3ACwAMgApACwAXABuACAAIAAgACAAZgBpAGwAdABlAHIAXwByAG8AdwBzACwAVgBTAFQAQQBDAEsAKABTAEUAUQBVAEUATgBDAEUAKAByAG8AdwAtADEALAAxACwAMQAsADAAKQAsAFwAbgAgACAAIAAgACAAIAAgACAAUwBFAFEAVQBFAE4AQwBFACgAcgBvAHcAcwArADEALAAxACwAMAAsADAAKQAsAFwAbgAgACAAIAAgACAAIAAgACAAUwBFAFEAVQBFAE4AQwBFACgAUgBPAFcAUwAoAHMAdAByAHUAYwB0AHUAcgBlACkALQAoAHIAbwB3ACsAcgBvAHcAcwApACwAMQAsADEALAAwACkAXABuACAAIAAgACAAKQAsAFwAbgAgACAAIAAgAEYASQBMAFQARQBSACgAcwB0AHIAdQBjAHQAdQByAGUALABmAGkAbAB0AGUAcgBfAHIAbwB3AHMAKQBcAG4AKQApADsAXABuAFwAbgAvACoAKgAqACoAKgAqACoAKgAqACoAKgAqACoAKgAqACoAKgAqACoAKgAqACoAKgAqAFwAbgAqACAAIABJAE0AQQBHAEkATgBBAFIAWQAgAE4AVQBNAEIARQBSAFMAXABuACoAKgAqACoAKgAqACoAKgAqACoAKgAqACoAKgAqACoAKgAqACoAKgAqACoAKgAqACoALwBcAG4ALwAqACoAXABuACoAIABSAGUAdAB1AHIAbgBzACAAdABoAGUAIABDAG8AbgBqAHUAZwBhAHQAZQAgAFQAcgBhAG4AcwBwAG8AcwBlACAAbwBmACAAYQAgAEMAbwBtAHAAbABlAHgAIABNAGEAdAByAGkAeABcAG4AKgAgAEUAcQB1AGEAbAAgAHQAbwAgAFQAUgBBAE4AUwBQAE8AUwBFACAAaQBmACAAdgBhAGwAdQBlAHMAIABhAHIAZQAgAFIAZQBhAGwAXABuACoALwBcAG4ASQBNAF8AQwBUAFIAQQBOAFMAUABPAFMARQAgAD0AIABMAEEATQBCAEQAQQAoAG0AYQB0AHIAaQB4ACwAXABuAEwARQBUACgAZABvAGMALABcACIAaAB0AHQAcABzADoALwAvAHcAdwB3AC4AdgBlAHIAdABlAHgANAAyAC4AYwBvAG0ALwBsAGEAbQBiAGQAYQAvAGMAbwBtAHAAbABlAHgALgBoAHQAbQBsAFwAIgAsAFwAbgAgACAAIAAgAFQAUgBBAE4AUwBQAE8AUwBFACgATQBBAFAAKABtAGEAdAByAGkAeAAsAEwAQQBNAEIARABBACgAYwBlAGwAbAAsAEkATQBDAE8ATgBKAFUARwBBAFQARQAoAGMAZQBsAGwAKQApACkAKQBcAG4AKQApADsAXABuAC8AKgAqAFwAbgAqACAAUgBlAHQAdQByAG4AcwAgAHQAaABlACAAQwBvAG0AcABsAGUAeAAgAEQAbwB0ACAAUAByAG8AZAB1AGMAdAAgAG8AZgAgAHQAdwBvACAAdgBlAGMAdABvAHIAcwBcAG4AKgAgAGEAPQB7AFwAIgAxACsAaQBcACIAOwBcACIALQBpAFwAIgB9ACwAIABiAD0AewBcACIAMwArAGkAXAAiADsAXAAiADEALQA0AGkAXAAiAH0AXABuACoAIABFAHEAdQBhAGwAIAB0AG8AIABTAFUATQBQAFIATwBEAFUAQwBUACAAaQBmACAAdgBhAGwAdQBlAHMAIABhAHIAZQAgAFIAZQBhAGwALAAgAGIAdQB0ACAAbgBvAHQAIABJAE0AXwBTAFUATQBQAFIATwBEAFUAQwBUAFwAbgAqAC8AXABuAEkATQBfAEQATwBUACAAPQAgAEwAQQBNAEIARABBACgAYQBfAHYAZQBjACwAYgBfAHYAZQBjACwAXABuAEwARQBUACgAZABvAGMALABcACIAaAB0AHQAcABzADoALwAvAHcAdwB3AC4AdgBlAHIAdABlAHgANAAyAC4AYwBvAG0ALwBsAGEAbQBiAGQAYQAvAGMAbwBtAHAAbABlAHgALgBoAHQAbQBsAFwAIgAsAFwAbgAgACAAIAAgAEkATQBTAFUATQAoAE0AQQBQACgAYQBfAHYAZQBjACwAYgBfAHYAZQBjACwATABBAE0AQgBEAEEAKABhAGkALABiAGkALABJAE0AUABSAE8ARABVAEMAVAAoAGEAaQAsAEkATQBDAE8ATgBKAFUARwBBAFQARQAoAGIAaQApACkAKQApACkAXABuACkAKQA7AFwAbgAvACoAKgBcAG4AKgAgAFIAZQB0AHUAcgBuAHMAIAB0AGgAZQAgAHMAdQBtACAAbwBmACAAdABoAGUAIABlAGwAZQBtAGUAbgB0AC0AdwBpAHMAZQAgAHAAcgBvAGQAdQBjAHQAIABvAGYAIABjAG8AbQBwAGwAZQB4ACAAdgBlAGMAdABvAHIAcwAgAGEAIABhAG4AZAAgAGIAXABuACoAIABFAHEAdQBhAGwAIAB0AG8AIABTAFUATQBQAFIATwBEAFUAQwBUACAAaQBmACAAdgBhAGwAdQBlAHMAIABhAHIAZQAgAFIAZQBhAGwALAAgAGIAdQB0ACAAbgBvAHQAIABJAE0AXwBEAE8AVABcAG4AKgAvAFwAbgBJAE0AXwBTAFUATQBQAFIATwBEAFUAQwBUACAAPQAgAEwAQQBNAEIARABBACgAYQBfAHYAZQBjACwAYgBfAHYAZQBjACwAXABuAEwARQBUACgAZABvAGMALABcACIAaAB0AHQAcABzADoALwAvAHcAdwB3AC4AdgBlAHIAdABlAHgANAAyAC4AYwBvAG0ALwBsAGEAbQBiAGQAYQAvAGMAbwBtAHAAbABlAHgALgBoAHQAbQBsAFwAIgAsAFwAbgAgACAAIAAgAEkATQBTAFUATQAoAE0AQQBQACgAYQBfAHYAZQBjACwAYgBfAHYAZQBjACwATABBAE0AQgBEAEEAKABhAGkALABiAGkALABJAE0AUABSAE8ARABVAEMAVAAoAGEAaQAsAGIAaQApACkAKQApAFwAbgApACkAOwBcAG4ALwAqACoAXABuACoAIABSAGUAdAB1AHIAbgBzACAAdABoAGUAIABtAGEAdAByAGkAeAAgAG0AdQBsAHQAaQBwAGwAaQBjAGEAdABpAG8AbgAgAG8AZgAgAHQAdwBvACAAYwBvAG0AcABsAGUAeAAgAG0AYQB0AHIAaQBjAGUAcwBcAG4AKgAgAEUAcQB1AGEAbAAgAHQAbwAgAE0ATQBVAEwAVAAgAGkAZgAgAHYAYQBsAHUAZQBzACAAYQByAGUAIABSAGUAYQBsAFwAbgAqAC8AXABuAEkATQBfAE0ATQBVAEwAVAAgAD0AIABMAEEATQBCAEQAQQAoAGEAXwBtAGEAdAAsAGIAXwBtAGEAdAAsAFwAbgBMAEUAVAAoAGQAbwBjACwAXAAiAGgAdAB0AHAAcwA6AC8ALwB3AHcAdwAuAHYAZQByAHQAZQB4ADQAMgAuAGMAbwBtAC8AbABhAG0AYgBkAGEALwBjAG8AbQBwAGwAZQB4AC4AaAB0AG0AbABcACIALABcAG4AIAAgACAAIABtACwAUgBPAFcAUwAoAGEAXwBtAGEAdAApACwAXABuACAAIAAgACAAbgAsAEMATwBMAFUATQBOAFMAKABiAF8AbQBhAHQAKQAsAFwAbgAgACAAIAAgAEkARgAoAEMATwBMAFUATQBOAFMAKABhAF8AbQBhAHQAKQA8AD4AUgBPAFcAUwAoAGIAXwBtAGEAdAApACwAXAAiAEUAcgByAG8AcgA6ACAAaQBuAHYAYQBsAGkAZAAgAHMAaQB6AGUAcwBcACIALABcAG4AIAAgACAAIAAgACAAIAAgAE0AQQBLAEUAQQBSAFIAQQBZACgAbQAsAG4ALABMAEEATQBCAEQAQQAoAGkALABqACwAXABuACAAIAAgACAAIAAgACAAIAAgACAAIAAgAEkATQBfAFMAVQBNAFAAUgBPAEQAVQBDAFQAKABUAFIAQQBOAFMAUABPAFMARQAoAEkATgBEAEUAWAAoAGEAXwBtAGEAdAAsAGkALAAwACkAKQAsAEkATgBEAEUAWAAoAGIAXwBtAGEAdAAsADAALABqACkAKQBcAG4AIAAgACAAIAAgACAAIAAgACkAKQBcAG4AIAAgACAAIAApAFwAbgApACkAOwBcAG4ALwAqACoAXABuACoAIABDAGgAZQBjAGsAcwAgAGkAZgAgAHQAaABlAHIAZQAgAGkAcwAgAGEAdAAgAGwAZQBhAHMAdAAgAG8AbgBlACAAdgBhAGwAdQBlAHMAIABpAG4AIABhAG4AIABhAHIAcgBhAHkAIAB0AGgAYQB0ACAAaQBzACAAYQAgAGMAbwBtAHAAbABlAHgAIABuAHUAbQBiAGUAcgBcAG4AKgAgAGEAbgBkACAAaQBmACAAYQBsAGwAIAB2AGEAbAB1AGUAcwAgAGMAYQBuACAAYgBlACAAdAByAGUAYQB0AGUAZAAgAGEAcwAgAGMAbwBtAHAAbABlAHgAIABuAHUAbQBiAGUAcgBzAFwAbgAqAC8AXABuAEkATQBfAEkAUwBDAE8ATQBQAEwARQBYACAAPQAgAEwAQQBNAEIARABBACgAbQBhAHQAcgBpAHgALABcAG4ATABFAFQAKABkAG8AYwAsAFwAIgBoAHQAdABwAHMAOgAvAC8AdwB3AHcALgB2AGUAcgB0AGUAeAA0ADIALgBjAG8AbQAvAGwAYQBtAGIAZABhAC8AYwBvAG0AcABsAGUAeAAuAGgAdABtAGwAXAAiACwAXABuACAAIAAgACAAaQBzAHQAZQB4AHQALABJAEYAKABTAFUATQAoAC0ALQBJAFMAVABFAFgAVAAoAG0AYQB0AHIAaQB4ACkAKQA+ADAALABUAFIAVQBFACwARgBBAEwAUwBFACkALABcAG4AIAAgACAAIABpAHMAaQBuAHUAbQAsAEkARgAoAFMAVQBNACgALQAtAEkAUwBFAFIAUgBPAFIAKABNAEEAUAAoAG0AYQB0AHIAaQB4ACwATABBAE0AQgBEAEEAKABjAGUAbABsACwASQBNAFMAVQBNACgAYwBlAGwAbAAsAGMAZQBsAGwAKQApACkAKQApAD4AMAAsAEYAQQBMAFMARQAsAFQAUgBVAEUAKQAsAFwAbgAgACAAIAAgAEEATgBEACgAaQBzAHQAZQB4AHQALABpAHMAaQBuAHUAbQApAFwAbgApACkAOwBcAG4ALwAqACoAXABuACoAIABSAGUAdAB1AHIAbgBzACAAVABSAFUARQAgAGkAZgAgAHQAaABlACAAbQBhAHQAcgBpAHgAIABpAHMAIABlAHEAdQBhAGwAIAB0AG8AIABpAHQAcwAgAGMAbwBuAGoAdQBnAGEAdABlACAAdAByAGEAbgBzAHAAbwBzAGUAXABuACoALwBcAG4ASQBNAF8ASQBTAEgARQBSAE0ASQBUAEkAQQBOACAAPQAgAEwAQQBNAEIARABBACgAbQBhAHQAcgBpAHgALABcAG4ATABFAFQAKABkAG8AYwAsAFwAIgBoAHQAdABwAHMAOgAvAC8AdwB3AHcALgB2AGUAcgB0AGUAeAA0ADIALgBjAG8AbQAvAGwAYQBtAGIAZABhAC8AYwBvAG0AcABsAGUAeAAuAGgAdABtAGwAXAAiACwAXABuACAAIAAgACAAbQBhAHQAcgBpAHgALABJAE0AXwBDAFQAUgBBAE4AUwBQAE8AUwBFACgASQBNAF8AQwBUAFIAQQBOAFMAUABPAFMARQAoAG0AYQB0AHIAaQB4ACkAKQAsAFwAbgAgACAAIAAgAEkARgAoAFIATwBXAFMAKABtAGEAdAByAGkAeAApADwAPgBDAE8ATABVAE0ATgBTACgAbQBhAHQAcgBpAHgAKQAsAEYAQQBMAFMARQAsAFMAVQBNACgALQAtACgAbQBhAHQAcgBpAHgAPAA+AEkATQBfAEMAVABSAEEATgBTAFAATwBTAEUAKABtAGEAdAByAGkAeAApACkAKQA9ADAAKQBcAG4AKQApADsAXABuAC8AKgAqAFwAbgAqACAASQBmACAAfABjAG8AZQBmAGYAaQBjAGkAZQBuAHQAfAAgAGkAcwAgAGwAZQBzAHMAIAB0AGgAYQBuACAAZQBwAHMAaQBsAG8AbgAgACgAZABlAGYAYQB1AGwAdAA9ADEARQAtADEANAApACwAIABtAGEAawBlACAAaQB0ACAAZQBxAHUAYQBsACAAegBlAHIAbwBcAG4AKgAvAFwAbgBJAE0AXwBSAE8AVQBOAEQAVABPAFoARQBSAE8AIAA9ACAATABBAE0AQgBEAEEAKABpAG4AdQBtAGIAZQByACwAWwBlAHAAcwBpAGwAbwBuAF0ALABcAG4ATABFAFQAKABkAG8AYwAsAFwAIgBoAHQAdABwAHMAOgAvAC8AdwB3AHcALgB2AGUAcgB0AGUAeAA0ADIALgBjAG8AbQAvAGwAYQBtAGIAZABhAC8AYwBvAG0AcABsAGUAeAAuAGgAdABtAGwAXAAiACwAXABuACAAIAAgACAAZQBwAHMAaQBsAG8AbgAsAEkARgAoAEkAUwBPAE0ASQBUAFQARQBEACgAZQBwAHMAaQBsAG8AbgApACwAMQBFAC0AMQA0ACwAZQBwAHMAaQBsAG8AbgApACwAXABuACAAIAAgACAATQBBAFAAKABpAG4AdQBtAGIAZQByACwATABBAE0AQgBEAEEAKABpAG4AdQBtACwAXABuACAAIAAgACAATABFAFQAKAByAGUAYQBsACwASQBGACgAQQBCAFMAKABJAE0AUgBFAEEATAAoAGkAbgB1AG0AKQApADwAZQBwAHMAaQBsAG8AbgAsADAALABJAE0AUgBFAEEATAAoAGkAbgB1AG0AKQApACwAXABuACAAIAAgACAAIAAgACAAIABpAG0AYQBnACwASQBGACgAQQBCAFMAKABJAE0AQQBHAEkATgBBAFIAWQAoAGkAbgB1AG0AKQApADwAZQBwAHMAaQBsAG8AbgAsADAALABJAE0AQQBHAEkATgBBAFIAWQAoAGkAbgB1AG0AKQApACwAXABuACAAIAAgACAAIAAgACAAIABJAEYAKABpAG0AYQBnAD0AMAAsAHIAZQBhAGwALABDAE8ATQBQAEwARQBYACgAcgBlAGEAbAAsAGkAbQBhAGcAKQApAFwAbgAgACAAIAAgACkAKQApAFwAbgApACkAOwBcAG4ALwAqACoAXABuACoAIABSAG8AdQBuAGQAcwAgAHQAaABlACAAUgBlAGEAbAAgAGEAbgBkACAASQBtAGEAZwBpAG4AYQByAHkAIABjAG8AZQBmAGYAaQBjAGkAZQBuAHQAcwAgAHMAZQBwAGEAcgBhAHQAZQBsAHkAIAB0AG8AIABuAHUAbQBfAGQAaQBnAGkAdABzAFwAbgAqAC8AXABuAEkATQBfAFIATwBVAE4ARAAgAD0AIABMAEEATQBCAEQAQQAoAGkAbgB1AG0AYgBlAHIALABuAHUAbQBfAGQAaQBnAGkAdABzACwAXABuAEwARQBUACgAZABvAGMALABcACIAaAB0AHQAcABzADoALwAvAHcAdwB3AC4AdgBlAHIAdABlAHgANAAyAC4AYwBvAG0ALwBsAGEAbQBiAGQAYQAvAGMAbwBtAHAAbABlAHgALgBoAHQAbQBsAFwAIgAsAFwAbgAgACAAIAAgAG4AdQBtAF8AZABpAGcAaQB0AHMALABJAEYAKABJAFMATwBNAEkAVABUAEUARAAoAG4AdQBtAF8AZABpAGcAaQB0AHMAKQAsAHsAXAAiAFwAIgAsAFwAIgBcACIAfQAsAG4AdQBtAF8AZABpAGcAaQB0AHMAKQAsAFwAbgAgACAAIAAgAHIAZABpAGcAaQB0AHMALABJAE4ARABFAFgAKABuAHUAbQBfAGQAaQBnAGkAdABzACwAMQApACwAXABuACAAIAAgACAAaQBkAGkAZwBpAHQAcwAsAEkARgAoAE8AUgAoAFIATwBXAFMAKABuAHUAbQBfAGQAaQBnAGkAdABzACkAPgAxACwAQwBPAEwAVQBNAE4AUwAoAG4AdQBtAF8AZABpAGcAaQB0AHMAKQA+ADEAKQAsAEkATgBEAEUAWAAoAG4AdQBtAF8AZABpAGcAaQB0AHMALAAyACkALAByAGQAaQBnAGkAdABzACkALABcAG4AIAAgACAAIABNAEEAUAAoAGkAbgB1AG0AYgBlAHIALABMAEEATQBCAEQAQQAoAGkAbgB1AG0ALABcAG4AIAAgACAAIABMAEUAVAAoAHIAZQBhAGwALABJAEYAKABJAFMAQgBMAEEATgBLACgAcgBkAGkAZwBpAHQAcwApACwASQBNAFIARQBBAEwAKABpAG4AdQBtACkALABSAE8AVQBOAEQAKABJAE0AUgBFAEEATAAoAGkAbgB1AG0AKQAsAHIAZABpAGcAaQB0AHMAKQApACwAXABuACAAIAAgACAAIAAgACAAIABpAG0AYQBnACwASQBGACgASQBTAEIATABBAE4ASwAoAGkAZABpAGcAaQB0AHMAKQAsAEkATQBBAEcASQBOAEEAUgBZACgAaQBuAHUAbQApACwAUgBPAFUATgBEACgASQBNAEEARwBJAE4AQQBSAFkAKABpAG4AdQBtACkALABpAGQAaQBnAGkAdABzACkAKQAsAFwAbgAgACAAIAAgACAAIAAgACAASQBGACgAaQBtAGEAZwA9ADAALAByAGUAYQBsACwAQwBPAE0AUABMAEUAWAAoAHIAZQBhAGwALABpAG0AYQBnACkAKQBcAG4AIAAgACAAIAApACkAKQBcAG4AKQApADsAXABuAC8AKgAqAFwAbgAqACAAQwBvAG4AdgBlAHIAdABzACAAYQAgAEMAbwBtAHAAbABlAHgAIABOAHUAbQBiAGUAcgAgAHoAPQB4ACsAeQBpACAAdABvACAAYQBuACAAYQByAHIAYQB5ACAAbwBmACAAYwBvAGUAZgBmAGkAYwBpAGUAbgB0AHMAIAB7AHgALAB5AH0AXABuACoALwBcAG4ASQBNAF8AVABPAEEAUgBSAEEAWQAgAD0AIABMAEEATQBCAEQAQQAoAGkAbgB1AG0AYgBlAHIALABcAG4ATABFAFQAKABkAG8AYwAsAFwAIgBoAHQAdABwAHMAOgAvAC8AdwB3AHcALgB2AGUAcgB0AGUAeAA0ADIALgBjAG8AbQAvAGwAYQBtAGIAZABhAC8AYwBvAG0AcABsAGUAeAAuAGgAdABtAGwAXAAiACwAXABuACAAIAAgACAATQBBAEsARQBBAFIAUgBBAFkAKABSAE8AVwBTACgAaQBuAHUAbQBiAGUAcgApACwAMgAsAEwAQQBNAEIARABBACgAaQAsAGoALABcAG4AIAAgACAAIAAgACAAIAAgAEkARgAoAGoAPQAxACwASQBNAFIARQBBAEwAKABJAE4ARABFAFgAKABpAG4AdQBtAGIAZQByACwAaQApACkALABJAE0AQQBHAEkATgBBAFIAWQAoAEkATgBEAEUAWAAoAGkAbgB1AG0AYgBlAHIALABpACkAKQApAFwAbgAgACAAIAAgACkAKQBcAG4AKQApADsAXABuAFwAbgAvACoAKgAqACoAKgAqACoAKgAqACoAKgAqACoAKgAqACoAKgAqACoAKgAqACoAKgAqACoAKgAqACoAKgAqACoAKgAqACoAXABuACoAIABGAEkATgBJAFQARQAgAEQASQBGAEYARQBSAEUATgBDAEUAIABhAG4AZAAgAEkATgBUAEUARwBSAEEAVABJAE8ATgBcAG4AKgAqACoAKgAqACoAKgAqACoAKgAqACoAKgAqACoAKgAqACoAKgAqACoAKgAqACoAKgAqACoAKgAqACoAKgAqACoAKgAqAC8AXABuAFwAbgAvACoAKgBcAG4AKgAgAEMAYQBsAGMAdQBsAGEAdABlACAAdABoAGUAIABkAGkAZgBmAGUAcgBlAG4AYwBlACAAYgBlAHQAdwBlAGUAbgAgAGEAZABqAGEAYwBlAG4AdAAgAHYAYQBsAHUAZQBzACAAbwBmACAAYQAgAGMAbwBsAHUAbQBuACAAdgBlAGMAdABvAHIAXABuACoALwBcAG4ARABJAEYARgAgAD0AIABMAEEATQBCAEQAQQAoAHgALABbAG4AXQAsAFwAbgBMAEUAVAAoAGQAbwBjACwAXAAiAGgAdAB0AHAAcwA6AC8ALwB3AHcAdwAuAHYAZQByAHQAZQB4ADQAMgAuAGMAbwBtAC8AbABhAG0AYgBkAGEALwBkAGkAZgBmAC4AaAB0AG0AbABcACIALABcAG4AIAAgACAAIABuACwASQBGACgASQBTAEIATABBAE4ASwAoAG4AKQAsADEALABuACkALABcAG4AIAAgACAAIABSAEUARABVAEMARQAoADEALABTAEUAUQBVAEUATgBDAEUAKABuACkALABMAEEATQBCAEQAQQAoAGEAYwBjACwAaQAsAFwAbgAgACAAIAAgACAAIAAgACAASQBGACgAaQA9ADEALABcAG4AIAAgACAAIAAgACAAIAAgACAAIAAgACAARABSAE8AUAAoAHgALAAxACkALQBEAFIATwBQACgAeAAsAC0AMQApACwAXABuACAAIAAgACAAIAAgACAAIAAgACAAIAAgAEQAUgBPAFAAKABhAGMAYwAsADEAKQAtAEQAUgBPAFAAKABhAGMAYwAsAC0AMQApAFwAbgAgACAAIAAgACAAIAAgACAAKQBcAG4AIAAgACAAIAApACkAXABuACkAKQA7AFwAbgAvACoAKgBcAG4AKgAgAEMAYQBsAGMAdQBsAGEAdABlACAAdABoAGUAIABuAC0AdABoACAARgBpAG4AaQB0AGUAIABEAGkAZgBmAGUAcgBlAG4AYwBlACAARABlAHIAaQB2AGEAdABpAHYAZQAgAGEAcwBzAHUAbQBpAG4AZwAgAHUAbgBpAGYAbwByAG0AIABzAHAAYQBjAGkAbgBnACAAaABcAG4AKgAvAFwAbgBGAEQASQBGAEYAIAA9ACAATABBAE0AQgBEAEEAKAB5AHMALABbAGgAXQAsAFsAbgBdACwAXABuAEwARQBUACgAZABvAGMALABcACIAaAB0AHQAcABzADoALwAvAHcAdwB3AC4AdgBlAHIAdABlAHgANAAyAC4AYwBvAG0ALwBsAGEAbQBiAGQAYQAvAGYAZABpAGYAZgAuAGgAdABtAGwAXAAiACwAXABuACAAIAAgACAAbgAsAEkARgAoAEkAUwBCAEwAQQBOAEsAKABuACkALAAxACwAbgApACwAXABuACAAIAAgACAAaAAsAEkARgAoAEkAUwBCAEwAQQBOAEsAKABoACkALAAxACwAaAApACwAXABuACAAIAAgACAAbQAsAFIATwBXAFMAKAB5AHMAKQAsAFwAbgAgACAAIAAgAE0AQQBLAEUAQQBSAFIAQQBZACgAbQAsADEALABMAEEATQBCAEQAQQAoAGkALABqACwAXABuACAAIAAgACAAIAAgACAAIABTAFcASQBUAEMASAAoAG4ALABcAG4AIAAgACAAIAAgACAAIAAgACAAIAAgACAAMQAsAFMAVwBJAFQAQwBIACgAaQAsAFwAbgAgACAAIAAgACAAIAAgACAAIAAgACAAIAAgACAAIAAgADEALABTAFUATQBQAFIATwBEAFUAQwBUACgAewAtADMAOwA0ADsALQAxAH0ALABDAEgATwBPAFMARQBSAE8AVwBTACgAeQBzACwAMQAsADIALAAzACkAKQAvACgAMgAqAGgAKQAsAFwAbgAgACAAIAAgACAAIAAgACAAIAAgACAAIAAgACAAIAAgAG0ALABTAFUATQBQAFIATwBEAFUAQwBUACgAewAxADsALQA0ADsAMwB9ACwAQwBIAE8ATwBTAEUAUgBPAFcAUwAoAHkAcwAsAG0ALQAyACwAbQAtADEALABtACkAKQAvACgAMgAqAGgAKQAsAFwAbgAgACAAIAAgACAAIAAgACAAIAAgACAAIAAgACAAIAAgAFMAVQBNAFAAUgBPAEQAVQBDAFQAKAB7AC0AMQA7ADAAOwAxAH0ALABDAEgATwBPAFMARQBSAE8AVwBTACgAeQBzACwAaQAtADEALABpACwAaQArADEAKQApAC8AKAAyACoAaAApAFwAbgAgACAAIAAgACAAIAAgACAAIAAgACAAIAApACwAXABuACAAIAAgACAAIAAgACAAIAAgACAAIAAgADIALABTAFcASQBUAEMASAAoAGkALABcAG4AIAAgACAAIAAgACAAIAAgACAAIAAgACAAIAAgACAAIAAxACwAUwBVAE0AUABSAE8ARABVAEMAVAAoAHsAMgA7AC0ANQA7ADQAOwAtADEAfQAsAEMASABPAE8AUwBFAFIATwBXAFMAKAB5AHMALAAxACwAMgAsADMALAA0ACkAKQAvACgAaABeADIAKQAsAFwAbgAgACAAIAAgACAAIAAgACAAIAAgACAAIAAgACAAIAAgAG0ALABTAFUATQBQAFIATwBEAFUAQwBUACgAewAtADEAOwA0ADsALQA1ADsAMgB9ACwAQwBIAE8ATwBTAEUAUgBPAFcAUwAoAHkAcwAsAG0ALQAzACwAbQAtADIALABtAC0AMQAsAG0AKQApAC8AKABoAF4AMgApACwAXABuACAAIAAgACAAIAAgACAAIAAgACAAIAAgACAAIAAgACAAUwBVAE0AUABSAE8ARABVAEMAVAAoAHsAMQA7AC0AMgA7ADEAfQAsAEMASABPAE8AUwBFAFIATwBXAFMAKAB5AHMALABpAC0AMQAsAGkALABpACsAMQApACkALwAoAGgAXgAyACkAXABuACAAIAAgACAAIAAgACAAIAAgACAAIAAgACkALABcAG4AIAAgACAAIAAgACAAIAAgACAAIAAgACAAMwAsAFMAVwBJAFQAQwBIACgAaQAsAFwAbgAgACAAIAAgACAAIAAgACAAIAAgACAAIAAgACAAIAAgADEALABTAFUATQBQAFIATwBEAFUAQwBUACgAewAtADUAOwAxADgAOwAtADIANAA7ADEANAA7AC0AMwB9ACwAQwBIAE8ATwBTAEUAUgBPAFcAUwAoAHkAcwAsADEALAAyACwAMwAsADQALAA1ACkAKQAvACgAMgAqAGgAXgAzACkALABcAG4AIAAgACAAIAAgACAAIAAgACAAIAAgACAAIAAgACAAIAAyACwAUwBVAE0AUABSAE8ARABVAEMAVAAoAHsALQAzADsAMQAwADsALQAxADIAOwA2ADsALQAxAH0ALABDAEgATwBPAFMARQBSAE8AVwBTACgAeQBzACwAMQAsADIALAAzACwANAAsADUAKQApAC8AKAAyACoAaABeADMAKQAsAFwAbgAgACAAIAAgACAAIAAgACAAIAAgACAAIAAgACAAIAAgAG0ALQAxACwAUwBVAE0AUABSAE8ARABVAEMAVAAoAHsAMQA7AC0ANgA7ADEAMgA7AC0AMQAwADsAMwB9ACwAQwBIAE8ATwBTAEUAUgBPAFcAUwAoAHkAcwAsAG0ALQA0ACwAbQAtADMALABtAC0AMgAsAG0ALQAxACwAbQApACkALwAoADIAKgBoAF4AMwApACwAXABuACAAIAAgACAAIAAgACAAIAAgACAAIAAgACAAIAAgACAAbQAsAFMAVQBNAFAAUgBPAEQAVQBDAFQAKAB7ADMAOwAtADEANAA7ADIANAA7AC0AMQA4ADsANQB9ACwAQwBIAE8ATwBTAEUAUgBPAFcAUwAoAHkAcwAsAG0ALQA0ACwAbQAtADMALABtAC0AMgAsAG0ALQAxACwAbQApACkALwAoADIAKgBoAF4AMwApACwAXABuACAAIAAgACAAIAAgACAAIAAgACAAIAAgACAAIAAgACAAUwBVAE0AUABSAE8ARABVAEMAVAAoAHsALQAxADsAMgA7ADAAOwAtADIAOwAxAH0ALABDAEgATwBPAFMARQBSAE8AVwBTACgAeQBzACwAaQAtADIALABpAC0AMQAsAGkALABpACsAMQAsAGkAKwAyACkAKQAvACgAMgAqAGgAXgAzACkAXABuACAAIAAgACAAIAAgACAAIAAgACAAIAAgACkALABcAG4AIAAgACAAIAAgACAAIAAgACAAIAAgACAANAAsAFMAVwBJAFQAQwBIACgAaQAsAFwAbgAgACAAIAAgACAAIAAgACAAIAAgACAAIAAgACAAIAAgADEALABTAFUATQBQAFIATwBEAFUAQwBUACgAewAzADsALQAxADQAOwAyADYAOwAtADIANAA7ADEAMQA7AC0AMgB9ACwAQwBIAE8ATwBTAEUAUgBPAFcAUwAoAHkAcwAsADEALAAyACwAMwAsADQALAA1ACwANgApACkALwAoAGgAXgA0ACkALABcAG4AIAAgACAAIAAgACAAIAAgACAAIAAgACAAIAAgACAAIAAyACwAUwBVAE0AUABSAE8ARABVAEMAVAAoAHsAMgA7AC0AOQA7ADEANgA7AC0AMQA0ADsANgA7AC0AMQB9ACwAQwBIAE8ATwBTAEUAUgBPAFcAUwAoAHkAcwAsADEALAAyACwAMwAsADQALAA1ACwANgApACkALwAoAGgAXgA0ACkALABcAG4AIAAgACAAIAAgACAAIAAgACAAIAAgACAAIAAgACAAIABtAC0AMQAsAFMAVQBNAFAAUgBPAEQAVQBDAFQAKAB7AC0AMQA7ADYAOwAtADEANAA7ADEANgA7AC0AOQA7ADIAfQAsAEMASABPAE8AUwBFAFIATwBXAFMAKAB5AHMALABtAC0ANQAsAG0ALQA0ACwAbQAtADMALABtAC0AMgAsAG0ALQAxACwAbQApACkALwAoAGgAXgA0ACkALABcAG4AIAAgACAAIAAgACAAIAAgACAAIAAgACAAIAAgACAAIABtACwAUwBVAE0AUABSAE8ARABVAEMAVAAoAHsALQAyADsAMQAxADsALQAyADQAOwAyADYAOwAtADEANAA7ADMAfQAsAEMASABPAE8AUwBFAFIATwBXAFMAKAB5AHMALABtAC0ANQAsAG0ALQA0ACwAbQAtADMALABtAC0AMgAsAG0ALQAxACwAbQApACkALwAoAGgAXgA0ACkALABcAG4AIAAgACAAIAAgACAAIAAgACAAIAAgACAAIAAgACAAIABTAFUATQBQAFIATwBEAFUAQwBUACgAewAxADsALQA0ADsANgA7AC0ANAA7ADEAfQAsAEMASABPAE8AUwBFAFIATwBXAFMAKAB5AHMALABpAC0AMgAsAGkALQAxACwAaQAsAGkAKwAxACwAaQArADIAKQApAC8AKABoAF4ANAApAFwAbgAgACAAIAAgACAAIAAgACAAIAAgACAAIAApACwAXABuACAAIAAgACAAIAAgACAAIAAgACAAIAAgAFwAIgBFAHIAcgBvAHIAOgAgAEkAbgB2AGEAbABpAGQAIABJAG4AdABlAGcAZQByACAAbgAsACAAMQA8AD0AbgA8AD0ANABcACIAXABuACAAIAAgACAAIAAgACAAIAApAFwAbgAgACAAIAAgACkAKQBcAG4AKQApADsAXABuAC8AKgAqAFwAbgAqACAAQwBhAGwAYwB1AGwAYQB0AGUAIAB0AGgAZQAgAG4AdABoAC0ARABlAHIAaQB2AGEAdABpAHYAZQAgAG8AZgAgAHkAKAB4ACkAIAB1AHMAaQBuAGcAIABhACAAcABvAGwAeQBuAG8AbQBpAGEAbAAtAGIAYQBzAGUAZAAgAEYAaQBuAGkAdABlACAARABpAGYAZgBlAHIAZQBuAGMAZQAgAGEAcABwAHIAbwB4AGkAbQBhAHQAaQBvAG4AXABuACoAIABEAGUAZgBhAHUAbAB0ADoAIABGAGkAbgBkAHMAIAB0AGgAZQAgADEAcwB0ACAAZABlAHIAaQB2AGEAdABpAHYAZQAgAGEAdAAgADIAbgBkAC0AbwByAGQAZQByACAAYQBjAGMAdQByAGEAYwB5AFwAbgAqAC8AXABuAFAARABJAEYARgAgAD0AIABMAEEATQBCAEQAQQAoAHgAcwAsAHkAcwAsAFsAbgB0AGgAXwBkAGUAcgBpAHYAXQAsAFsAbwByAGQAZQByAF0ALABcAG4ATABFAFQAKABkAG8AYwAsAFwAIgBoAHQAdABwAHMAOgAvAC8AdwB3AHcALgB2AGUAcgB0AGUAeAA0ADIALgBjAG8AbQAvAGwAYQBtAGIAZABhAC8AcABkAGkAZgBmAC4AaAB0AG0AbABcACIALABcAG4AIAAgACAAIABuACwASQBGACgASQBTAEIATABBAE4ASwAoAG4AdABoAF8AZABlAHIAaQB2ACkALAAxACwAbgB0AGgAXwBkAGUAcgBpAHYAKQAsAFwAbgAgACAAIAAgAG8AcgBkAGUAcgAsAEkARgAoAEkAUwBCAEwAQQBOAEsAKABvAHIAZABlAHIAKQAsADIALABvAHIAZABlAHIAKQAsAFwAbgAgACAAIAAgAEIAWQBSAE8AVwAoAHgAcwAsAEwAQQBNAEIARABBACgAeAAsAFwAbgAgACAAIAAgACAAIAAgACAATABFAFQAKAB0AGEAYgAsAFQAQQBLAEUAKABTAE8AUgBUACgASABTAFQAQQBDAEsAKAAoAHgAcwAtAHgAKQBeADIALAB4AHMALAB5AHMAKQApACwAbgArAG8AcgBkAGUAcgApACwAXABuACAAIAAgACAAIAAgACAAIAAgACAAIAAgAHgAbwAsAEkATgBEAEUAWAAoAHQAYQBiACwAMQAsADIAKQAsAFwAbgAgACAAIAAgACAAIAAgACAAIAAgACAAIABwAG8AbAB5ACwAUABPAEwAWQBGAEkAVAAoAEkATgBEAEUAWAAoAHQAYQBiACwAMAAsADIAKQAtAHgAbwAsAEkATgBEAEUAWAAoAHQAYQBiACwAMAAsADMAKQAsAG4AKwBvAHIAZABlAHIALQAxACkALABcAG4AIAAgACAAIAAgACAAIAAgACAAIAAgACAAZABlAHIAaQB2ACwAUgBFAEQAVQBDAEUAKABwAG8AbAB5ACwAUwBFAFEAVQBFAE4AQwBFACgAbgApACwATABBAE0AQgBEAEEAKABhAGMAYwAsAGkALABQAE8ATABZAEQARQBSACgAYQBjAGMAKQApACkALABcAG4AIAAgACAAIAAgACAAIAAgACAAIAAgACAAUABPAEwAWQBWAEEATAAoAGQAZQByAGkAdgAsAHgALQB4AG8AKQBcAG4AIAAgACAAIAAgACAAIAAgACkAXABuACAAIAAgACAAKQApAFwAbgApACkAOwBcAG4ALwAqACoAXABuACoAIABOAHUAbQBlAHIAaQBjAGEAbAAgAEkAbgB0AGUAZwByAGEAdABpAG8AbgAgAHUAcwBpAG4AZwAgAHQAaABlACAAVAByAGEAcABlAHoAbwBpAGQAYQBsACAAUgB1AGwAZQBcAG4AKgAgAEQAZQBmAGEAdQBsAHQAcwA6ACAAZAB4AD0AMQAgAGkAZgAgAHgAIABhAG4AZAAgAGQAeAAgAGEAcgBlACAAYgBsAGEAbgBrACwAIABjAHUAbQB1AGwAYQB0AGkAdgBlAD0ARgBBAEwAUwBFAFwAbgAqAC8AXABuAFQAUgBBAFAAWgAgAD0AIABMAEEATQBCAEQAQQAoAHkALABbAHgAXQAsAFsAZAB4AF0ALABbAGMAdQBtAHUAbABhAHQAaQB2AGUAXQAsAFwAbgBMAEUAVAAoAGQAbwBjACwAXAAiAGgAdAB0AHAAcwA6AC8ALwB3AHcAdwAuAHYAZQByAHQAZQB4ADQAMgAuAGMAbwBtAC8AbABhAG0AYgBkAGEALwB0AHIAYQBwAHoALgBoAHQAbQBsAFwAIgAsAFwAbgAgACAAIAAgAGQAeAAsAEkARgAoAEkAUwBCAEwAQQBOAEsAKABkAHgAKQAsADEALABkAHgAKQAsAFwAbgAgACAAIAAgAGEAcgBlAGEAcwAsAEkARgAoAEkAUwBPAE0ASQBUAFQARQBEACgAeAApACwAXABuACAAIAAgACAAIAAgACAAIAAoAEQAUgBPAFAAKAB5ACwALQAxACkAKwBEAFIATwBQACgAeQAsADEAKQApAC8AMgAqAGQAeAAsAFwAbgAgACAAIAAgACAAIAAgACAAKAAoAEQAUgBPAFAAKAB5ACwALQAxACkAKwBEAFIATwBQACgAeQAsADEAKQApAC8AMgApACoAKABEAFIATwBQACgAeAAsADEAKQAtAEQAUgBPAFAAKAB4ACwALQAxACkAKQBcAG4AIAAgACAAIAApACwAXABuACAAIAAgACAAUgBFAEQAVQBDAEUAKABcACIAXAAiACwAUwBFAFEAVQBFAE4AQwBFACgAQwBPAEwAVQBNAE4AUwAoAGEAcgBlAGEAcwApACkALABcAG4AIAAgACAAIAAgACAAIAAgAEwAQQBNAEIARABBACgAYQBjAGMALABpACwATABFAFQAKABcAG4AIAAgACAAIAAgACAAIAAgACAAIAAgACAAYwBvAGwALABDAEgATwBPAFMARQBDAE8ATABTACgAYQByAGUAYQBzACwAaQApACwAXABuACAAIAAgACAAIAAgACAAIAAgACAAIAAgAG4AZQB3ACwASQBGACgAYwB1AG0AdQBsAGEAdABpAHYAZQA9AFQAUgBVAEUALABcAG4AIAAgACAAIAAgACAAIAAgACAAIAAgACAAIAAgACAAIABTAEMAQQBOACgAMAAsAFMARQBRAFUARQBOAEMARQAoAFIATwBXAFMAKABjAG8AbAApACsAMQApACwAXABuACAAIAAgACAAIAAgACAAIAAgACAAIAAgACAAIAAgACAAIAAgACAAIABMAEEATQBCAEQAQQAoAGEAYwBjACwAaQAsAEkARgAoAGkAPQAxACwAMAAsAGEAYwBjACsASQBOAEQARQBYACgAYwBvAGwALABpAC0AMQAsADEAKQApACkAXABuACAAIAAgACAAIAAgACAAIAAgACAAIAAgACAAIAAgACAAKQAsAFwAbgAgACAAIAAgACAAIAAgACAAIAAgACAAIAAgACAAIAAgAFMAVQBNACgAYwBvAGwAKQBcAG4AIAAgACAAIAAgACAAIAAgACAAIAAgACAAKQAsAFwAbgAgACAAIAAgACAAIAAgACAAIAAgACAAIABJAEYAKABpAD0AMQAsAG4AZQB3ACwASABTAFQAQQBDAEsAKABhAGMAYwAsAG4AZQB3ACkAKQBcAG4AIAAgACAAIAAgACAAIAAgACkAKQBcAG4AIAAgACAAIAApAFwAbgApACkAOwBcAG4ALwAqACoAXABuACoAIABOAHUAbQBlAHIAaQBjAGEAbAAgAEkAbgB0AGUAZwByAGEAdABpAG8AbgAgAHUAcwBpAG4AZwAgAEMAbwBtAHAAbwBzAGkAdABlACAAUwBpAG0AcABzAG8AbgAnAHMAIAAxAC8AMwAgAFIAdQBsAGUAXABuACoALwBcAG4AUwBJAE0AUABTAE8ATgAgAD0AIABMAEEATQBCAEQAQQAoAHkALABbAHgAXQAsAFsAZAB4AF0ALABcAG4ATABFAFQAKABkAG8AYwAsAFwAIgBoAHQAdABwAHMAOgAvAC8AdwB3AHcALgB2AGUAcgB0AGUAeAA0ADIALgBjAG8AbQAvAGwAYQBtAGIAZABhAC8AcwBpAG0AcABzAG8AbgAuAGgAdABtAGwAXAAiACwAXABuACAAIAAgACAAZAB4ACwASQBGACgASQBTAE8ATQBJAFQAVABFAEQAKABkAHgAKQAsADEALABkAHgAKQAsAFwAbgAgACAAIAAgAG4ALABSAE8AVwBTACgAeQApACwAXABuACAAIAAgACAAaQBuAHQAZQBnAHIAYQBsACwAUgBFAEQAVQBDAEUAKAAwACwAUwBFAFEAVQBFAE4AQwBFACgASQBOAFQAKAAoAG4ALQAxACkALwAyACkALAAxACwAMQAsADIAKQAsAEwAQQBNAEIARABBACgAYQBjAGMALABpACwAXABuACAAIAAgACAAIAAgACAAIABJAEYAKABJAFMATwBNAEkAVABUAEUARAAoAHgAKQAsAFwAbgAgACAAIAAgACAAIAAgACAAIAAgACAAIABhAGMAYwArACgAMQAvADMAKgBkAHgAKgAoAEkATgBEAEUAWAAoAHkALABpACkAKwA0ACoASQBOAEQARQBYACgAeQAsAGkAKwAxACkAKwBJAE4ARABFAFgAKAB5ACwAaQArADIAKQApACkALABcAG4AIAAgACAAIAAgACAAIAAgACAAIAAgACAATABFAFQAKABcAG4AIAAgACAAIAAgACAAIAAgACAAIAAgACAAIAAgACAAIABoAF8AMQAsAEkATgBEAEUAWAAoAHgALABpACsAMQApAC0ASQBOAEQARQBYACgAeAAsAGkAKQAsAFwAbgAgACAAIAAgACAAIAAgACAAIAAgACAAIAAgACAAIAAgAGgAXwAyACwASQBOAEQARQBYACgAeAAsAGkAKwAyACkALQBJAE4ARABFAFgAKAB4ACwAaQArADEAKQAsAFwAbgAgACAAIAAgACAAIAAgACAAIAAgACAAIAAgACAAIAAgAGEAcgBlAGEALAAoAGgAXwAxACsAaABfADIAKQAvADYAKgAoAFwAbgAgACAAIAAgACAAIAAgACAAIAAgACAAIAAgACAAIAAgACAAIAAgACAAKAAyAC0AaABfADIALwBoAF8AMQApACoASQBOAEQARQBYACgAeQAsAGkAKQAgACsAIABcAG4AIAAgACAAIAAgACAAIAAgACAAIAAgACAAIAAgACAAIAAgACAAIAAgACgAaABfADEAKwBoAF8AMgApAF4AMgAvACgAaABfADEAKgBoAF8AMgApACoASQBOAEQARQBYACgAeQAsAGkAKwAxACkAIAArACAAXABuACAAIAAgACAAIAAgACAAIAAgACAAIAAgACAAIAAgACAAIAAgACAAIAAoADIALQBoAF8AMQAvAGgAXwAyACkAKgBJAE4ARABFAFgAKAB5ACwAaQArADIAKQApACwAXABuACAAIAAgACAAIAAgACAAIAAgACAAIAAgACAAIAAgACAAYQBjAGMAKwBhAHIAZQBhAFwAbgAgACAAIAAgACAAIAAgACAAIAAgACAAIAApAFwAbgAgACAAIAAgACAAIAAgACAAKQBcAG4AIAAgACAAIAApACkALABcAG4AIAAgACAAIABsAGEAcwB0AGkAbgB0AGUAcgB2AGEAbAAsAEkARgAoAEkAUwBPAEQARAAoAG4AKQAsADAALABcAG4AIAAgACAAIAAgACAAIAAgAEkARgAoAEkAUwBPAE0ASQBUAFQARQBEACgAeAApACwAXABuACAAIAAgACAAIAAgACAAIAAgACAAIAAgAGQAeAAqACgANQAvADEAMgAqAEkATgBEAEUAWAAoAHkALABuACkAKwAyAC8AMwAqAEkATgBEAEUAWAAoAHkALABuAC0AMQApAC0AMQAvADEAMgAqACgASQBOAEQARQBYACgAeQAsAG4ALQAyACkAKQApACwAXABuACAAIAAgACAAIAAgACAAIAAgACAAIAAgAEwARQBUACgAXABuACAAIAAgACAAIAAgACAAIAAgACAAIAAgACAAIAAgACAAaABfADEALABJAE4ARABFAFgAKAB4ACwAbgApAC0ASQBOAEQARQBYACgAeAAsAG4ALQAxACkALABcAG4AIAAgACAAIAAgACAAIAAgACAAIAAgACAAIAAgACAAIABoAF8AMgAsAEkATgBEAEUAWAAoAHgALABuAC0AMQApAC0ASQBOAEQARQBYACgAeAAsAG4ALQAyACkALABcAG4AIAAgACAAIAAgACAAIAAgACAAIAAgACAAIAAgACAAIABhAGwAcABoAGEALAAoADIAKgBoAF8AMQBeADIAKwAzACoAaABfADEAKgBoAF8AMgApAC8AKAA2ACoAKABoAF8AMgArAGgAXwAxACkAKQAsAFwAbgAgACAAIAAgACAAIAAgACAAIAAgACAAIAAgACAAIAAgAGIAZQB0AGEALAAoAGgAXwAxAF4AMgArADMAKgBoAF8AMQAqAGgAXwAyACkALwAoADYAKgBoAF8AMgApACwAXABuACAAIAAgACAAIAAgACAAIAAgACAAIAAgACAAIAAgACAAbgB1ACwAKABoAF8AMQBeADMAKQAvACgANgAqAGgAXwAyACoAKABoAF8AMgArAGgAXwAxACkAKQAsAFwAbgAgACAAIAAgACAAIAAgACAAIAAgACAAIAAgACAAIAAgAGEAbABwAGgAYQAqAEkATgBEAEUAWAAoAHkALABuACkAKwBiAGUAdABhACoASQBOAEQARQBYACgAeQAsAG4ALQAxACkALQBuAHUAKgBJAE4ARABFAFgAKAB5ACwAbgAtADIAKQBcAG4AIAAgACAAIAAgACAAIAAgACAAIAAgACAAKQBcAG4AIAAgACAAIAAgACAAIAAgACkAXABuACAAIAAgACAAKQAsAFwAbgAgACAAIAAgAGkAbgB0AGUAZwByAGEAbAArAGwAYQBzAHQAaQBuAHQAZQByAHYAYQBsAFwAbgApACkAOwBcAG4AXABuAC8AKgAgACoAKgAqACoAKgAqACoAKgAqACoAKgAqACoAKgAqACoAKgAqACoAXABuACoAIABBAEQARABSAEUAUwBTACAARgBVAE4AQwBUAEkATwBOAFMAXABuACoAKgAqACoAKgAqACoAKgAqACoAKgAqACoAKgAqACoAKgAqACoAKgAqAC8AXABuAFwAbgAvACoAKgBcAG4AKgAgAFMAaABvAHIAdABjAHUAdAAgAHYAZQByAHMAaQBvAG4AIABvAGYAIAB0AGgAZQAgAEEARABEAFIARQBTAFMAIABmAHUAbgBjAHQAaQBvAG4ALgAgAFUAcwBlAHMAIABjAGUAbABsAF8AbwByAF8AcgBhAG4AZwBlACAAYQBzACAAdABoAGUAIABpAG4AcAB1AHQALgBcAG4AKgAvAFwAbgAvACoAXABuACoAIABJAG4AcAB1AHQAcwA6AFwAbgAqACAAIAAgAGMAZQBsAGwAXwBvAHIAXwByAGEAbgBnAGUAOgAgAFQAaABlACAAcgBlAGYAZQByAGUAbgBjAGUAIABjAGUAbABsACAAbwByACAAcgBhAG4AZwBlACAAZgBvAHIAIAB3AGgAaQBjAGgAIAB0AG8AIAByAGUAdAB1AHIAbgAgAHQAaABlACAAYQBkAGQAcgBlAHMAcwAoAGUAcwApAC4AXABuACoAIAAgACAAWwBhAGIAcwBfAG4AdQBtAF0AOgAgAE8AcAB0AGkAbwBuAGEAbAAuACAARABlAHQAZQByAG0AaQBuAGUAcwAgAHQAaABlACAAYQBkAGQAcgBlAHMAcwAgAHMAdAB5AGwAZQAgACgAZQAuAGcALgAsACAAMQA9AGEAYgBzAG8AbAB1AHQAZQAsACAANAA9AHIAZQBsAGEAdABpAHYAZQApAC4AIABEAGUAZgBhAHUAbAB0AHMAIAB0AG8AIAAxAC4AXABuACoAIAAgACAAWwBhADEAXwByADEAYwAxAF0AOgAgAE8AcAB0AGkAbwBuAGEAbAAuACAARABlAHQAZQByAG0AaQBuAGUAcwAgAHQAaABlACAAcgBlAGYAZQByAGUAbgBjAGUAIABzAHQAeQBsAGUAIAAoADEAPQBBADEALAAgADAAPQBSADEAQwAxACkALgAgAEQAZQBmAGEAdQBsAHQAcwAgAHQAbwAgADEALgBcAG4AKgAgACAAIABbAGkAbgBjAGwAdQBkAGUAXwBzAGgAZQBlAHQAbgBhAG0AZQBdADoAIABPAHAAdABpAG8AbgBhAGwALgAgAEkAZgAgAFQAUgBVAEUALAAgAGkAbgBjAGwAdQBkAGUAcwAgAHQAaABlACAAcwBoAGUAZQB0ACAAbgBhAG0AZQAuACAARABlAGYAYQB1AGwAdABzACAAdABvACAARgBBAEwAUwBFAC4AXABuACoAXABuACoAIABPAHUAdABwAHUAdABzADoAXABuACoAIAAgACAAUgBlAHQAdQByAG4AcwAgAHQAaABlACAAYQBkAGQAcgBlAHMAcwAgAG8AZgAgAHQAaABlACAAcwBwAGUAYwBpAGYAaQBlAGQAIABjAGUAbABsACwAIABvAHAAdABpAG8AbgBhAGwAbAB5ACAAaQBuAGMAbAB1AGQAaQBuAGcAIAB0AGgAZQAgAHMAaABlAGUAdAAgAG4AYQBtAGUALgBcAG4AKgAvAFwAbgBBAEQAIAA9ACAATABBAE0AQgBEAEEAKABjAGUAbABsAF8AbwByAF8AcgBhAG4AZwBlACwAIABbAGEAYgBzAF8AbgB1AG0AXQAsACAAWwBhADEAXwByADEAYwAxAF0ALAAgAFsAaQBuAGMAbAB1AGQAZQBfAHMAaABlAGUAdABuAGEAbQBlAF0ALABcAG4ATABFAFQAKABkAG8AYwAsACAAXAAiAGgAdAB0AHAAcwA6AC8ALwB3AHcAdwAuAHYAZQByAHQAZQB4ADQAMgAuAGMAbwBtAC8AbABhAG0AYgBkAGEALwBcACIALABcAG4AIAAgACAAIAB2AGUAcgBzAGkAbwBuACwAIABcACIAMQAuADAALgAxACAALQAgAFUAcABkAGEAdABlAGQAIABwAGEAcgBhAG0AZQB0AGUAcgAgAG4AYQBtAGUAIABhAG4AZAAgAGMAbwBtAG0AZQBuAHQAaQBuAGcAXAAiACwAXABuACAAIAAgACAAYwBlAGwAbAAsACAAYwBlAGwAbABfAG8AcgBfAHIAYQBuAGcAZQAsAFwAbgAgACAAIAAgAGEAYgBzAF8AbgB1AG0ALAAgAEkARgAoAEkAUwBPAE0ASQBUAFQARQBEACgAYQBiAHMAXwBuAHUAbQApACwAIAAxACwAIABhAGIAcwBfAG4AdQBtACkALABcAG4AIAAgACAAIABhADEAXwByADEAYwAxACwAIABJAEYAKABJAFMATwBNAEkAVABUAEUARAAoAGEAMQBfAHIAMQBjADEAKQAsACAAMQAsACAAYQAxAF8AcgAxAGMAMQApACwAXABuACAAIAAgACAAaQBuAGMAbAB1AGQAZQBfAHMAaABlAGUAdABuAGEAbQBlACwAIABJAEYAKABJAFMATwBNAEkAVABUAEUARAAoAGkAbgBjAGwAdQBkAGUAXwBzAGgAZQBlAHQAbgBhAG0AZQApACwAIABGAEEATABTAEUALAAgAGkAbgBjAGwAdQBkAGUAXwBzAGgAZQBlAHQAbgBhAG0AZQApACwAXABuACAAIAAgACAASQBGACgAaQBuAGMAbAB1AGQAZQBfAHMAaABlAGUAdABuAGEAbQBlACwAXABuACAAIAAgACAAIAAgACAAIABBAEQARABSAEUAUwBTACgAUgBPAFcAKABjAGUAbABsACkALAAgAEMATwBMAFUATQBOACgAYwBlAGwAbAApACwAIABhAGIAcwBfAG4AdQBtACwAIABhADEAXwByADEAYwAxACwAIABUAEUAWABUAEEARgBUAEUAUgAoAEMARQBMAEwAKABcACIAZgBpAGwAZQBuAGEAbQBlAFwAIgAsACAAYwBlAGwAbAApACwAIABcACIAXQBcACIAKQApACwAXABuACAAIAAgACAAIAAgACAAIABBAEQARABSAEUAUwBTACgAUgBPAFcAKABjAGUAbABsACkALAAgAEMATwBMAFUATQBOACgAYwBlAGwAbAApACwAIABhAGIAcwBfAG4AdQBtACwAIABhADEAXwByADEAYwAxACkAXABuACAAIAAgACAAKQBcAG4AKQApADsAXABuACIAfQBdACwAIgBwAHIAbwBqAGUAYwB0AE4AYQBtAGUAcwAiADoAWwAiAEwALgBTAEYAUgBPAFUATgBEACIALAAiAEwALgBDAFUATQBVAEwAQQBUAEkAVgBFAFMAVQBNACIALAAiAEwALgBTAEMAVQBSAFYARQAiACwAIgBMAC4AQgBPAE8ASwBNAEEAUgBLACIALAAiAEwALgBTAEUAIgAsACIATAAuAEwASQBOAFMAUABBAEMARQAiACwAIgBMAC4ATABPAEcAUwBQAEEAQwBFACIALAAiAEwALgBSAEUAUwBDAEEATABFACIALAAiAEwALgBJAFMAVQBOAEkARgBPAFIATQAiACwAIgBMAC4ATQBFAFMASABHAFIASQBEACIALAAiAEwALgBGAEkAQgBPAE4AQQBDAEMASQAiACwAIgBMAC4ASQBTAFAAUgBJAE0ARQAiACwAIgBMAC4AUAByAGkAbQBlAHMAIgAsACIATAAuAFIARQBNAE8AVgBFAEMASABBAFIAUwAiACwAIgBMAC4AQQBEAEQAUwBQAEEAQwBFAEIARQBGAE8AUgBFAEMAQQBQACIALAAiAEwALgBDAE8AVQBOAFQAQwBIAEEAUgAiACwAIgBMAC4AVABFAFgAVAAyAEEAUgBSAEEAWQAiACwAIgBMAC4AUgBPAE0AQQBOADIASQBOAFQAIgAsACIATAAuAEYATABJAFAAIgAsACIATAAuAEYATABJAFAATABSACIALAAiAEwALgBGAEwASQBQAFUARAAiACwAIgBMAC4AUgBPAFQAXwA5ADAAIgAsACIATAAuAEMASQBSAEMAUwBIAEkARgBUACIALAAiAEwALgBSAEUAUABBAFIAUgBBAFkAIgAsACIATAAuAFIARQBQAEUATABFAE0AIgAsACIATAAuAFIARQBQAEwAQQBDAEUAQgBMAE8AQwBLACIALAAiAEwALgBTAEwASQBDAEUAIgAsACIATAAuAFMAUABMAEkAQwBFACIALAAiAEwALgBDAE8ATQBCAEkATgBBAFQASQBPAE4AUwAiACwAIgBMAC4AUABFAFIATQBVAFQAQQBUAEkATwBOAFMAIgAsACIATAAuAEMATwBNAEIASQBOAFIAIgAsACIATAAuAFMASQBaAEUAIgAsACIATAAuAEkAUwBWAEUAQwBUAE8AUgAiACwAIgBMAC4ASQBTAEEAUgBSAEEAWQAiACwAIgBMAC4ASQBTAEMATwBMAFUATQBOACIALAAiAEwALgBJAFMAUgBPAFcAIgAsACIATAAuAEkAUwBTAFkATQBNAEUAVABSAEkAQwAiACwAIgBMAC4ASQBTAFAATwBTAEQARQBGACIALAAiAEwALgBSAE8AVABfADQANQAiACwAIgBMAC4ATwBOAEUAUwAiACwAIgBMAC4AWgBFAFIATwBTACIALAAiAEwALgBEAEkAQQBHACIALAAiAEwALgBUAFIAQQBDAEUAIgAsACIATAAuAFIATwBXAFMAVQBNACIALAAiAEwALgBDAE8ATABTAFUATQAiACwAIgBMAC4ARABPAFQAIgAsACIATAAuAEMAUgBPAFMAUwAiACwAIgBMAC4ATQBBAEcATgBJAFQAVQBEAEUAIgAsACIATAAuAFAAQQBTAEMAQQBMACIALAAiAEwALgBIAEUAUwBTACIALAAiAEwALgBRAFIAIgAsACIATAAuAEUASQBHAEUATgBWAEEATABVAEUAIgAsACIATAAuAEMASABPAEwARQBTAEsAWQAiACwAIgBMAC4ATABJAE4AVABFAFIAUAAiACwAIgBMAC4AUABJAE4AVABFAFIAUAAiACwAIgBMAC4AQwBTAFAATABJAE4ARQAiACwAIgBMAC4ATgBTAFAATABJAE4ARQAiACwAIgBMAC4AUwBQAEwASQBOAEUAIgAsACIATAAuAFAATwBMAFkARgBJAFQAIgAsACIATAAuAFAATwBMAFkAVgBBAEwAIgAsACIATAAuAFAATwBMAFkARABFAFIAIgAsACIATAAuAFAATwBMAFkASQBOAFQAIgAsACIATAAuAFAATwBMAFkAQQBEAEQAIgAsACIATAAuAFAATwBMAFkAUwBVAEIAIgAsACIATAAuAFAATwBMAFkATQBVAEwAVAAiACwAIgBMAC4AUABPAEwAWQBEAEkAVgAiACwAIgBMAC4AUABPAEwAWQBDAE8ATQBQAEEATgAiACwAIgBMAC4AUABQAFYAQQBMACIALAAiAEwALgBQAFAASQBOAFQAIgAsACIATAAuAFAAUABEAEUAUgAiACwAIgBMAC4AUABPAEwAWQBSAE8ATwBUAFMAIgAsACIATAAuAFAATwBMAFkARgBSAE8ATQBSAE8ATwBUAFMAIgAsACIATAAuAFMATwBMAFYARQBfAE4AUgAiACwAIgBMAC4AUQBVAEEARABSAEEAVABJAEMAIgAsACIATAAuAFQASQBNAEUAUgAiACwAIgBMAC4AQgBZAFIATwBXADIARAAiACwAIgBMAC4AQgBZAEMATwBMADIARAAiACwAIgBMAC4ASABTAFQAQQBDAEsAXwBGAG8AcgBFAGEAYwBoACIALAAiAEwALgBWAFMAVABBAEMASwBfAEYAbwByAEUAYQBjAGgAIgAsACIATAAuAFMAVABSAFUAQwBUAF8ARwBFAFQAIgAsACIATAAuAFMAVABSAFUAQwBUAF8AQwBSAEUAQQBUAEUAIgAsACIATAAuAFMAVABSAFUAQwBUAF8AQQBQAFAARQBOAEQAIgAsACIATAAuAFMAVABSAFUAQwBUAF8AUgBFAE0ATwBWAEUAIgAsACIATAAuAEkATQBfAEMAVABSAEEATgBTAFAATwBTAEUAIgAsACIATAAuAEkATQBfAEQATwBUACIALAAiAEwALgBJAE0AXwBTAFUATQBQAFIATwBEAFUAQwBUACIALAAiAEwALgBJAE0AXwBNAE0AVQBMAFQAIgAsACIATAAuAEkATQBfAEkAUwBDAE8ATQBQAEwARQBYACIALAAiAEwALgBJAE0AXwBJAFMASABFAFIATQBJAFQASQBBAE4AIgAsACIATAAuAEkATQBfAFIATwBVAE4ARABUAE8AWgBFAFIATwAiACwAIgBMAC4ASQBNAF8AUgBPAFUATgBEACIALAAiAEwALgBJAE0AXwBUAE8AQQBSAFIAQQBZACIALAAiAEwALgBEAEkARgBGACIALAAiAEwALgBGAEQASQBGAEYAIgAsACIATAAuAFAARABJAEYARgAiACwAIgBMAC4AVABSAEEAUABaACIALAAiAEwALgBTAEkATQBQAFMATwBOACIALAAiAEwALgBBAEQAIgBdACwAIgBsAG8AYwBhAGwAZQAiADoAewAiAGwAaQBzAHQAUwBlAHAAYQByAGEAdABvAHIAIgA6ACIALAAiACwAIgByAG8AdwBTAGUAcABhAHIAYQB0AG8AcgAiADoAIgA7ACIALAAiAGMAbwBsAHUAbQBuAFMAZQBwAGEAcgBhAHQAbwByACIAOgAiACwAIgAsACIAdABoAG8AdQBzAGEAbgBkAHMAUwBlAHAAYQByAGEAdABvAHIAIgA6ACIALAAiACwAIgB0AGgAbwB1AHMAYQBuAGQAcwBQAG8AcwBpAHQAaQBvAG4AcwAiADoAWwAzAF0ALAAiAGQAZQBjAGkAbQBhAGwAUwBlAHAAYQByAGEAdABvAHIAIgA6ACIALgAiACwAIgBkAGEAdABlAE8AcgBkAGUAcgAiADoAIgBNAEQAWQAiACwAIgBjAHUAcgByAGUAbgBjAHkAUwB5AG0AYgBvAGwAIgA6ACIAJAAiACwAIgBpAHMAQwB1AHIAcgBlAG4AYwB5AFMAeQBtAGIAbwBsAEwAZQBhAGQAIgA6AHQAcgB1AGUALAAiAGkAcwBDAHUAcgByAGUAbgBjAHkAUwBlAHAAQgB5AFMAcABhAGMAZQAiADoAZgBhAGwAcwBlACwAIgByAG8AdwBMAGUAdAB0AGUAcgAiADoAIgBSACIALAAiAGMAbwBsAHUAbQBuAEwAZQB0AHQAZQByACIAOgAiAEMAIgAsACIAcgBjAEwAZQBmAHQAQgByAGEAYwBrAGUAdAAiADoAIgBbACIALAAiAHIAYwBSAGkAZwBoAHQAQgByAGEAYwBrAGUAdAAiADoAIgBdACIALAAiAHMAdABhAHQAZQBtAGUAbgB0AFMAZQBwAGEAcgBhAHQAbwByACIAOgAiADsAIgAsACIAbABvAGMAYQBsAGUATgBhAG0AZQAiADoAIgBlAG4ALQB1AHMAIgB9AH0A</AFEJSONBlob>
</file>

<file path=customXml/itemProps1.xml><?xml version="1.0" encoding="utf-8"?>
<ds:datastoreItem xmlns:ds="http://schemas.openxmlformats.org/officeDocument/2006/customXml" ds:itemID="{214B541F-8588-4834-82FB-FF65CCD4036E}">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Functions</vt:lpstr>
      <vt:lpstr>General</vt:lpstr>
      <vt:lpstr>Polynomials</vt:lpstr>
      <vt:lpstr>Sequences</vt:lpstr>
      <vt:lpstr>Arrays</vt:lpstr>
      <vt:lpstr>Matrices</vt:lpstr>
      <vt:lpstr>Calc</vt:lpstr>
      <vt:lpstr>Structures</vt:lpstr>
      <vt:lpstr>License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LAMBDA Library Functions</dc:title>
  <dc:creator/>
  <dc:description>(c) 2024-2025 Vertex42 LLC. All Rights Reserved.</dc:description>
  <cp:lastModifiedBy/>
  <dcterms:created xsi:type="dcterms:W3CDTF">2015-06-05T18:17:20Z</dcterms:created>
  <dcterms:modified xsi:type="dcterms:W3CDTF">2025-01-17T02:35:05Z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2024-2025 Vertex42 LLC</vt:lpwstr>
  </property>
  <property fmtid="{D5CDD505-2E9C-101B-9397-08002B2CF9AE}" pid="3" name="Source">
    <vt:lpwstr>https://www.vertex42.com/lambda/templates.html</vt:lpwstr>
  </property>
  <property fmtid="{D5CDD505-2E9C-101B-9397-08002B2CF9AE}" pid="4" name="Version">
    <vt:lpwstr>1.1.3</vt:lpwstr>
  </property>
</Properties>
</file>